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pqa/Documents/2TP/protokół przeliczeniowy/"/>
    </mc:Choice>
  </mc:AlternateContent>
  <xr:revisionPtr revIDLastSave="0" documentId="13_ncr:1_{D039343A-ECAC-EB42-9EC6-49036323AB61}" xr6:coauthVersionLast="45" xr6:coauthVersionMax="45" xr10:uidLastSave="{00000000-0000-0000-0000-000000000000}"/>
  <bookViews>
    <workbookView xWindow="300" yWindow="460" windowWidth="28240" windowHeight="16600" xr2:uid="{26C6B6B2-86C4-B948-8612-BBB54B5B6A98}"/>
  </bookViews>
  <sheets>
    <sheet name="R@R_data base" sheetId="1" r:id="rId1"/>
    <sheet name="R@R_form" sheetId="3" r:id="rId2"/>
    <sheet name="katra przeliczeń" sheetId="4" state="hidden" r:id="rId3"/>
  </sheets>
  <definedNames>
    <definedName name="_xlnm.Print_Area" localSheetId="0">'R@R_data base'!$A$1:$R$96</definedName>
    <definedName name="_xlnm.Print_Area" localSheetId="1">'R@R_form'!$A$1:$J$44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48" i="1" l="1"/>
  <c r="G4" i="1" l="1"/>
  <c r="G8" i="1"/>
  <c r="G9" i="1" s="1"/>
  <c r="G10" i="1" s="1"/>
  <c r="G23" i="3" l="1"/>
  <c r="G36" i="3"/>
  <c r="H6" i="3"/>
  <c r="H5" i="3"/>
  <c r="H4" i="3"/>
  <c r="E6" i="3"/>
  <c r="E32" i="3" s="1"/>
  <c r="D5" i="3"/>
  <c r="D4" i="3"/>
  <c r="E15" i="3"/>
  <c r="F15" i="3"/>
  <c r="G15" i="3"/>
  <c r="H15" i="3"/>
  <c r="H23" i="3" s="1"/>
  <c r="I15" i="3"/>
  <c r="J15" i="3"/>
  <c r="E21" i="3"/>
  <c r="F21" i="3"/>
  <c r="G21" i="3"/>
  <c r="H21" i="3"/>
  <c r="I21" i="3"/>
  <c r="J21" i="3"/>
  <c r="E22" i="3"/>
  <c r="F22" i="3"/>
  <c r="G22" i="3"/>
  <c r="H22" i="3"/>
  <c r="I22" i="3"/>
  <c r="J22" i="3"/>
  <c r="I23" i="3"/>
  <c r="J23" i="3"/>
  <c r="E29" i="3"/>
  <c r="F29" i="3"/>
  <c r="G29" i="3"/>
  <c r="H29" i="3"/>
  <c r="I29" i="3"/>
  <c r="J29" i="3"/>
  <c r="E30" i="3"/>
  <c r="F30" i="3"/>
  <c r="F31" i="3" s="1"/>
  <c r="G30" i="3"/>
  <c r="G31" i="3" s="1"/>
  <c r="H30" i="3"/>
  <c r="H31" i="3" s="1"/>
  <c r="H36" i="3" s="1"/>
  <c r="I30" i="3"/>
  <c r="J30" i="3"/>
  <c r="E31" i="3"/>
  <c r="I31" i="3"/>
  <c r="J31" i="3"/>
  <c r="I36" i="3"/>
  <c r="J36" i="3"/>
  <c r="G32" i="3" l="1"/>
  <c r="J32" i="3"/>
  <c r="I32" i="3"/>
  <c r="F32" i="3"/>
  <c r="H32" i="3"/>
  <c r="E36" i="3"/>
  <c r="F36" i="3"/>
  <c r="F23" i="3"/>
  <c r="E23" i="3"/>
  <c r="H37" i="3" l="1"/>
  <c r="G37" i="3"/>
  <c r="G41" i="3"/>
  <c r="H41" i="3" s="1"/>
  <c r="J37" i="3"/>
  <c r="I37" i="3"/>
  <c r="F37" i="3"/>
  <c r="E37" i="3"/>
  <c r="F24" i="3"/>
  <c r="I24" i="3"/>
  <c r="E24" i="3"/>
  <c r="H24" i="3"/>
  <c r="J24" i="3"/>
  <c r="G24" i="3"/>
  <c r="C95" i="1" l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D41" i="1" l="1"/>
  <c r="B41" i="1"/>
  <c r="C41" i="1"/>
  <c r="D19" i="1"/>
  <c r="D18" i="1"/>
  <c r="A19" i="1"/>
  <c r="A18" i="1"/>
  <c r="D17" i="1"/>
  <c r="D20" i="1" s="1"/>
  <c r="D44" i="1" l="1"/>
</calcChain>
</file>

<file path=xl/sharedStrings.xml><?xml version="1.0" encoding="utf-8"?>
<sst xmlns="http://schemas.openxmlformats.org/spreadsheetml/2006/main" count="156" uniqueCount="125">
  <si>
    <t>Data listu nominacyjnego</t>
  </si>
  <si>
    <t>Nr. listu nominacyjnego</t>
  </si>
  <si>
    <t>Numer części</t>
  </si>
  <si>
    <t>Nazwa części</t>
  </si>
  <si>
    <t>Obliczanie zdolności produkcyjnej</t>
  </si>
  <si>
    <t>liczba zmian</t>
  </si>
  <si>
    <t>liczba pracowników na linii</t>
  </si>
  <si>
    <t>czas rozpoczęcia próby</t>
  </si>
  <si>
    <t>czas zakończenia próby</t>
  </si>
  <si>
    <t>ilość wyprodukowana</t>
  </si>
  <si>
    <t>ilość części Ok</t>
  </si>
  <si>
    <t>Ilość części NOk</t>
  </si>
  <si>
    <t>mikroprzestoje</t>
  </si>
  <si>
    <t xml:space="preserve">planowane postoje </t>
  </si>
  <si>
    <t>pozostałe</t>
  </si>
  <si>
    <t>wypracowane minuty</t>
  </si>
  <si>
    <t>przestoje w produkcji [ilość]</t>
  </si>
  <si>
    <t>przeliczenie przestojów [minuty]</t>
  </si>
  <si>
    <t>% ilość wyprodukowana</t>
  </si>
  <si>
    <t>% ilość części Ok</t>
  </si>
  <si>
    <t>% Ilość części NOk</t>
  </si>
  <si>
    <t>szacowana</t>
  </si>
  <si>
    <t>osiągnięta</t>
  </si>
  <si>
    <t>SQA</t>
  </si>
  <si>
    <t>Log</t>
  </si>
  <si>
    <t>Sales</t>
  </si>
  <si>
    <t>PM</t>
  </si>
  <si>
    <t>GM</t>
  </si>
  <si>
    <t>Pur. Man</t>
  </si>
  <si>
    <t>Log. Man</t>
  </si>
  <si>
    <t>HR Man</t>
  </si>
  <si>
    <t>Tech. Man</t>
  </si>
  <si>
    <t>Q. Man</t>
  </si>
  <si>
    <t>NOTATKI</t>
  </si>
  <si>
    <t>godziny</t>
  </si>
  <si>
    <t xml:space="preserve">SQE </t>
  </si>
  <si>
    <t>wyniki auditów</t>
  </si>
  <si>
    <t>VDA6.3</t>
  </si>
  <si>
    <t>Wyniki R@R</t>
  </si>
  <si>
    <t>pozytywny</t>
  </si>
  <si>
    <t>negatywny</t>
  </si>
  <si>
    <t>brak</t>
  </si>
  <si>
    <t>wynik analizy 2TP</t>
  </si>
  <si>
    <t>Nazwa przedsiębiorstwa / adres</t>
  </si>
  <si>
    <t>AQE/Tech</t>
  </si>
  <si>
    <t>R@R data</t>
  </si>
  <si>
    <t>Auditor</t>
  </si>
  <si>
    <t>Firma</t>
  </si>
  <si>
    <r>
      <t xml:space="preserve">Working hours/shift </t>
    </r>
    <r>
      <rPr>
        <sz val="8"/>
        <rFont val="Arial"/>
        <family val="2"/>
      </rPr>
      <t>(do not include breaks, lunch, planned maintenance)</t>
    </r>
  </si>
  <si>
    <t>Shifts/ day</t>
  </si>
  <si>
    <t>Days/ week</t>
  </si>
  <si>
    <t>Weeks/ year</t>
  </si>
  <si>
    <r>
      <t>Total hours/year</t>
    </r>
    <r>
      <rPr>
        <b/>
        <sz val="9"/>
        <rFont val="Arial"/>
        <family val="2"/>
      </rPr>
      <t xml:space="preserve"> </t>
    </r>
    <r>
      <rPr>
        <b/>
        <sz val="8"/>
        <rFont val="Arial"/>
        <family val="2"/>
      </rPr>
      <t>(9*10*11*12)</t>
    </r>
  </si>
  <si>
    <t xml:space="preserve">STEP 1 </t>
  </si>
  <si>
    <t>STEP 2</t>
  </si>
  <si>
    <t>STEP 3</t>
  </si>
  <si>
    <t>STEP 4</t>
  </si>
  <si>
    <t>STEP 5</t>
  </si>
  <si>
    <t>STEP 6</t>
  </si>
  <si>
    <t>ilość zakontaktowana rocznie</t>
  </si>
  <si>
    <t>Ilości w trakcie R@R</t>
  </si>
  <si>
    <t>%</t>
  </si>
  <si>
    <t>Quoted Production Rate (part # item 1)</t>
  </si>
  <si>
    <t>Quoted % scrap</t>
  </si>
  <si>
    <t>Quoted % line efficiency</t>
  </si>
  <si>
    <r>
      <t xml:space="preserve">Adjusted production rate </t>
    </r>
    <r>
      <rPr>
        <b/>
        <sz val="8"/>
        <rFont val="Arial"/>
        <family val="2"/>
      </rPr>
      <t>(15*(1-16)*17)</t>
    </r>
  </si>
  <si>
    <r>
      <t>Available capacity</t>
    </r>
    <r>
      <rPr>
        <b/>
        <sz val="6"/>
        <rFont val="Arial"/>
        <family val="2"/>
      </rPr>
      <t xml:space="preserve"> </t>
    </r>
    <r>
      <rPr>
        <b/>
        <sz val="8"/>
        <rFont val="Arial"/>
        <family val="2"/>
      </rPr>
      <t>(15*14*(1-16)*17)*13</t>
    </r>
  </si>
  <si>
    <r>
      <t xml:space="preserve">Utilization % </t>
    </r>
    <r>
      <rPr>
        <b/>
        <sz val="8"/>
        <rFont val="Arial"/>
        <family val="2"/>
      </rPr>
      <t>(3/19)</t>
    </r>
  </si>
  <si>
    <t>Bottleneck operation</t>
  </si>
  <si>
    <r>
      <t>Trial run duration</t>
    </r>
    <r>
      <rPr>
        <sz val="8"/>
        <rFont val="Arial"/>
        <family val="2"/>
      </rPr>
      <t xml:space="preserve"> (do not include breaks, lunch, planned maintenance)</t>
    </r>
    <r>
      <rPr>
        <sz val="10"/>
        <rFont val="Arial"/>
        <family val="2"/>
      </rPr>
      <t>.</t>
    </r>
  </si>
  <si>
    <t>Total parts produced</t>
  </si>
  <si>
    <t>Number of bad parts</t>
  </si>
  <si>
    <r>
      <t>First time capability % (</t>
    </r>
    <r>
      <rPr>
        <b/>
        <sz val="8"/>
        <rFont val="Arial"/>
        <family val="2"/>
      </rPr>
      <t>(23-24)/24)*100</t>
    </r>
  </si>
  <si>
    <r>
      <t>Number of good parts</t>
    </r>
    <r>
      <rPr>
        <b/>
        <sz val="6"/>
        <rFont val="Arial"/>
        <family val="2"/>
      </rPr>
      <t xml:space="preserve"> </t>
    </r>
    <r>
      <rPr>
        <b/>
        <sz val="8"/>
        <rFont val="Arial"/>
        <family val="2"/>
      </rPr>
      <t>(23-24)</t>
    </r>
  </si>
  <si>
    <r>
      <t xml:space="preserve">Net output </t>
    </r>
    <r>
      <rPr>
        <b/>
        <sz val="8"/>
        <rFont val="Arial"/>
        <family val="2"/>
      </rPr>
      <t>(26/22)</t>
    </r>
  </si>
  <si>
    <r>
      <t xml:space="preserve">Takt Time Rate (Target) </t>
    </r>
    <r>
      <rPr>
        <b/>
        <sz val="8"/>
        <rFont val="Arial"/>
        <family val="2"/>
      </rPr>
      <t>(3/13*14)</t>
    </r>
  </si>
  <si>
    <t>Downtime (hours)</t>
  </si>
  <si>
    <t xml:space="preserve">Reason </t>
  </si>
  <si>
    <r>
      <t xml:space="preserve">Run-Off utilization % </t>
    </r>
    <r>
      <rPr>
        <b/>
        <sz val="8"/>
        <rFont val="Arial"/>
        <family val="2"/>
      </rPr>
      <t>(3/(27*13*14))</t>
    </r>
  </si>
  <si>
    <t>hours</t>
  </si>
  <si>
    <t>shifts</t>
  </si>
  <si>
    <t>days</t>
  </si>
  <si>
    <t>weeks</t>
  </si>
  <si>
    <t>pcs/hour</t>
  </si>
  <si>
    <t>pcs/year</t>
  </si>
  <si>
    <t>X</t>
  </si>
  <si>
    <t>hour</t>
  </si>
  <si>
    <t>pcs</t>
  </si>
  <si>
    <t>pcs/ hour</t>
  </si>
  <si>
    <t>Process Step</t>
  </si>
  <si>
    <t xml:space="preserve">Process Description </t>
  </si>
  <si>
    <t xml:space="preserve"> </t>
  </si>
  <si>
    <t>Date:</t>
  </si>
  <si>
    <t>New production readiness trial run is required:</t>
  </si>
  <si>
    <t>Corrective actions are required:</t>
  </si>
  <si>
    <t>Utilization %</t>
  </si>
  <si>
    <t>Status</t>
  </si>
  <si>
    <t>Overall Process</t>
  </si>
  <si>
    <r>
      <t>34</t>
    </r>
    <r>
      <rPr>
        <b/>
        <sz val="10"/>
        <rFont val="Arial"/>
        <family val="2"/>
      </rPr>
      <t xml:space="preserve">   SUMMARY</t>
    </r>
  </si>
  <si>
    <t>SHADED CELLS ARE CALCULATED and protected</t>
  </si>
  <si>
    <r>
      <t xml:space="preserve">III - </t>
    </r>
    <r>
      <rPr>
        <sz val="10.5"/>
        <rFont val="Arial"/>
        <family val="2"/>
      </rPr>
      <t>RUN@RATE Results</t>
    </r>
  </si>
  <si>
    <r>
      <t xml:space="preserve">II - </t>
    </r>
    <r>
      <rPr>
        <sz val="10.5"/>
        <rFont val="Arial"/>
        <family val="2"/>
      </rPr>
      <t>Supplier Capacity Data</t>
    </r>
  </si>
  <si>
    <r>
      <t>I</t>
    </r>
    <r>
      <rPr>
        <sz val="10.5"/>
        <rFont val="Arial"/>
        <family val="2"/>
      </rPr>
      <t xml:space="preserve"> - Supplier Working Standards</t>
    </r>
  </si>
  <si>
    <t>Supplier Location</t>
  </si>
  <si>
    <t>Supplier Name</t>
  </si>
  <si>
    <t>Part Description</t>
  </si>
  <si>
    <t>Run@Rate Date</t>
  </si>
  <si>
    <r>
      <t>CAPACITY VERIFICATION</t>
    </r>
    <r>
      <rPr>
        <sz val="12"/>
        <color theme="1"/>
        <rFont val="Calibri"/>
        <family val="2"/>
        <charset val="238"/>
        <scheme val="minor"/>
      </rPr>
      <t xml:space="preserve"> </t>
    </r>
    <r>
      <rPr>
        <sz val="9"/>
        <rFont val="Arial"/>
        <family val="2"/>
      </rPr>
      <t>(Production Readiness Review / RUN@RATE)</t>
    </r>
  </si>
  <si>
    <t>Annual Capacity Planning Volume</t>
  </si>
  <si>
    <t>% of line dedicated for parts (Allocation %)</t>
  </si>
  <si>
    <t>RUN@RATE results are acceptable and meet capacity planning volume requirements:</t>
  </si>
  <si>
    <t>YES</t>
  </si>
  <si>
    <t>NO</t>
  </si>
  <si>
    <t xml:space="preserve"> Signature / Date</t>
  </si>
  <si>
    <t>text only</t>
  </si>
  <si>
    <t>TABELA PRZELICZANAIA CZASÓW</t>
  </si>
  <si>
    <t>+15%</t>
  </si>
  <si>
    <t>róznica z R@R</t>
  </si>
  <si>
    <t>[liczba]</t>
  </si>
  <si>
    <t xml:space="preserve">Part Number </t>
  </si>
  <si>
    <t>[zapisz uwagi dotyczace przestojów]
[zapisz uwagi dotyczące R@R]</t>
  </si>
  <si>
    <t>ilość</t>
  </si>
  <si>
    <t>uszczegółowienie
[w minutach]</t>
  </si>
  <si>
    <t>łącznie</t>
  </si>
  <si>
    <t>Szacowana produkcja godzinowa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</si>
</sst>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[$-F800]dddd\,\ mmmm\ dd\,\ yyyy"/>
    <numFmt numFmtId="166" formatCode="_(* #,##0.00_);_(* \(#,##0.00\);_(* &quot;-&quot;??_);_(@_)"/>
    <numFmt numFmtId="167" formatCode="_(* #,##0_);_(* \(#,##0\);_(* &quot;-&quot;??_);_(@_)"/>
    <numFmt numFmtId="168" formatCode="0.0%"/>
    <numFmt numFmtId="169" formatCode="mmmm\ d\,\ yyyy"/>
  </numFmts>
  <fonts count="27"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 tint="-0.249977111117893"/>
      <name val="Calibri"/>
      <family val="2"/>
      <scheme val="minor"/>
    </font>
    <font>
      <sz val="10"/>
      <color theme="0" tint="-0.14999847407452621"/>
      <name val="Calibri"/>
      <family val="2"/>
      <scheme val="minor"/>
    </font>
    <font>
      <sz val="8"/>
      <name val="Calibri"/>
      <family val="2"/>
      <charset val="238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6"/>
      <name val="Arial"/>
      <family val="2"/>
    </font>
    <font>
      <sz val="18"/>
      <name val="Script"/>
      <family val="4"/>
      <charset val="255"/>
    </font>
    <font>
      <b/>
      <i/>
      <sz val="9"/>
      <color indexed="62"/>
      <name val="Arial"/>
      <family val="2"/>
    </font>
    <font>
      <b/>
      <sz val="10.5"/>
      <name val="Arial"/>
      <family val="2"/>
    </font>
    <font>
      <sz val="9"/>
      <name val="Arial"/>
      <family val="2"/>
    </font>
    <font>
      <sz val="10.5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16"/>
      <name val="Arial"/>
      <family val="2"/>
    </font>
    <font>
      <sz val="12"/>
      <color theme="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0" fillId="0" borderId="0"/>
    <xf numFmtId="9" fontId="10" fillId="0" borderId="0" applyFont="0" applyFill="0" applyBorder="0" applyAlignment="0" applyProtection="0"/>
    <xf numFmtId="166" fontId="10" fillId="0" borderId="0" applyFont="0" applyFill="0" applyBorder="0" applyAlignment="0" applyProtection="0"/>
  </cellStyleXfs>
  <cellXfs count="24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7" xfId="0" applyFont="1" applyBorder="1"/>
    <xf numFmtId="0" fontId="2" fillId="0" borderId="9" xfId="0" applyFont="1" applyBorder="1"/>
    <xf numFmtId="0" fontId="2" fillId="0" borderId="11" xfId="0" applyFont="1" applyBorder="1"/>
    <xf numFmtId="0" fontId="2" fillId="0" borderId="13" xfId="0" applyFont="1" applyBorder="1"/>
    <xf numFmtId="0" fontId="2" fillId="0" borderId="23" xfId="0" applyFont="1" applyBorder="1"/>
    <xf numFmtId="2" fontId="2" fillId="0" borderId="1" xfId="0" applyNumberFormat="1" applyFont="1" applyBorder="1"/>
    <xf numFmtId="0" fontId="3" fillId="0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/>
    <xf numFmtId="0" fontId="2" fillId="0" borderId="5" xfId="0" applyFont="1" applyBorder="1" applyAlignment="1">
      <alignment horizontal="center" vertical="center"/>
    </xf>
    <xf numFmtId="1" fontId="2" fillId="0" borderId="25" xfId="0" applyNumberFormat="1" applyFont="1" applyBorder="1"/>
    <xf numFmtId="1" fontId="2" fillId="0" borderId="24" xfId="0" applyNumberFormat="1" applyFont="1" applyBorder="1"/>
    <xf numFmtId="1" fontId="2" fillId="0" borderId="26" xfId="0" applyNumberFormat="1" applyFont="1" applyBorder="1"/>
    <xf numFmtId="0" fontId="2" fillId="0" borderId="21" xfId="0" applyFont="1" applyBorder="1"/>
    <xf numFmtId="0" fontId="2" fillId="0" borderId="0" xfId="0" applyFont="1" applyBorder="1"/>
    <xf numFmtId="0" fontId="2" fillId="0" borderId="16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vertical="center"/>
    </xf>
    <xf numFmtId="0" fontId="2" fillId="0" borderId="22" xfId="0" applyFont="1" applyBorder="1"/>
    <xf numFmtId="0" fontId="2" fillId="0" borderId="33" xfId="0" applyFont="1" applyBorder="1"/>
    <xf numFmtId="0" fontId="2" fillId="0" borderId="34" xfId="0" applyFont="1" applyBorder="1"/>
    <xf numFmtId="0" fontId="4" fillId="0" borderId="21" xfId="0" applyFont="1" applyBorder="1" applyAlignment="1">
      <alignment horizontal="center" vertical="center"/>
    </xf>
    <xf numFmtId="0" fontId="5" fillId="0" borderId="1" xfId="0" applyFont="1" applyBorder="1" applyAlignment="1">
      <alignment vertical="top"/>
    </xf>
    <xf numFmtId="0" fontId="8" fillId="0" borderId="21" xfId="0" applyFont="1" applyBorder="1" applyAlignment="1">
      <alignment horizontal="right"/>
    </xf>
    <xf numFmtId="0" fontId="7" fillId="0" borderId="21" xfId="0" applyFont="1" applyBorder="1" applyAlignment="1">
      <alignment horizontal="right"/>
    </xf>
    <xf numFmtId="0" fontId="0" fillId="0" borderId="1" xfId="0" applyBorder="1"/>
    <xf numFmtId="0" fontId="10" fillId="0" borderId="0" xfId="2"/>
    <xf numFmtId="0" fontId="10" fillId="0" borderId="0" xfId="2" applyAlignment="1">
      <alignment horizontal="center"/>
    </xf>
    <xf numFmtId="0" fontId="11" fillId="0" borderId="0" xfId="2" applyFont="1" applyAlignment="1">
      <alignment horizontal="center"/>
    </xf>
    <xf numFmtId="0" fontId="10" fillId="0" borderId="0" xfId="2" applyAlignment="1">
      <alignment horizontal="right"/>
    </xf>
    <xf numFmtId="0" fontId="10" fillId="0" borderId="33" xfId="2" applyBorder="1"/>
    <xf numFmtId="169" fontId="10" fillId="0" borderId="1" xfId="2" applyNumberFormat="1" applyBorder="1" applyAlignment="1" applyProtection="1">
      <alignment wrapText="1"/>
      <protection locked="0"/>
    </xf>
    <xf numFmtId="0" fontId="10" fillId="0" borderId="1" xfId="2" applyBorder="1" applyAlignment="1">
      <alignment horizontal="right"/>
    </xf>
    <xf numFmtId="168" fontId="16" fillId="0" borderId="6" xfId="2" applyNumberFormat="1" applyFont="1" applyBorder="1" applyAlignment="1">
      <alignment horizontal="center"/>
    </xf>
    <xf numFmtId="0" fontId="10" fillId="0" borderId="1" xfId="2" applyBorder="1"/>
    <xf numFmtId="0" fontId="16" fillId="0" borderId="42" xfId="2" applyFont="1" applyBorder="1" applyAlignment="1">
      <alignment horizontal="center"/>
    </xf>
    <xf numFmtId="0" fontId="11" fillId="0" borderId="2" xfId="2" applyFont="1" applyBorder="1" applyAlignment="1" applyProtection="1">
      <alignment wrapText="1"/>
      <protection locked="0"/>
    </xf>
    <xf numFmtId="0" fontId="11" fillId="0" borderId="1" xfId="2" applyFont="1" applyBorder="1" applyAlignment="1">
      <alignment horizontal="center"/>
    </xf>
    <xf numFmtId="0" fontId="10" fillId="0" borderId="1" xfId="2" applyBorder="1" applyAlignment="1" applyProtection="1">
      <alignment horizontal="left" vertical="center" wrapText="1"/>
      <protection locked="0"/>
    </xf>
    <xf numFmtId="0" fontId="10" fillId="0" borderId="1" xfId="2" applyBorder="1" applyAlignment="1">
      <alignment horizontal="left" vertical="center" wrapText="1"/>
    </xf>
    <xf numFmtId="0" fontId="21" fillId="0" borderId="1" xfId="2" applyFont="1" applyBorder="1" applyAlignment="1" applyProtection="1">
      <alignment horizontal="left" vertical="center" wrapText="1"/>
      <protection locked="0"/>
    </xf>
    <xf numFmtId="0" fontId="10" fillId="0" borderId="1" xfId="2" applyBorder="1" applyAlignment="1">
      <alignment vertical="center"/>
    </xf>
    <xf numFmtId="164" fontId="10" fillId="0" borderId="1" xfId="2" applyNumberFormat="1" applyBorder="1" applyAlignment="1" applyProtection="1">
      <alignment horizontal="right" wrapText="1"/>
      <protection locked="0"/>
    </xf>
    <xf numFmtId="1" fontId="10" fillId="0" borderId="1" xfId="2" applyNumberFormat="1" applyBorder="1" applyAlignment="1" applyProtection="1">
      <alignment horizontal="right" wrapText="1"/>
      <protection locked="0"/>
    </xf>
    <xf numFmtId="2" fontId="10" fillId="0" borderId="1" xfId="2" applyNumberFormat="1" applyBorder="1" applyAlignment="1" applyProtection="1">
      <alignment horizontal="right" wrapText="1"/>
      <protection locked="0"/>
    </xf>
    <xf numFmtId="9" fontId="10" fillId="0" borderId="1" xfId="3" applyFont="1" applyBorder="1" applyAlignment="1" applyProtection="1">
      <alignment horizontal="right" wrapText="1"/>
      <protection locked="0"/>
    </xf>
    <xf numFmtId="0" fontId="11" fillId="0" borderId="3" xfId="2" applyFont="1" applyBorder="1" applyAlignment="1">
      <alignment horizontal="center"/>
    </xf>
    <xf numFmtId="0" fontId="10" fillId="0" borderId="1" xfId="2" applyBorder="1" applyAlignment="1">
      <alignment horizontal="left"/>
    </xf>
    <xf numFmtId="0" fontId="10" fillId="0" borderId="4" xfId="2" applyBorder="1" applyAlignment="1">
      <alignment horizontal="center"/>
    </xf>
    <xf numFmtId="0" fontId="23" fillId="0" borderId="36" xfId="2" applyFont="1" applyBorder="1" applyAlignment="1">
      <alignment horizontal="left"/>
    </xf>
    <xf numFmtId="0" fontId="10" fillId="0" borderId="42" xfId="2" applyBorder="1" applyAlignment="1" applyProtection="1">
      <alignment horizontal="center" wrapText="1"/>
      <protection locked="0"/>
    </xf>
    <xf numFmtId="0" fontId="11" fillId="0" borderId="1" xfId="2" applyFont="1" applyBorder="1" applyAlignment="1">
      <alignment horizontal="center" vertical="center"/>
    </xf>
    <xf numFmtId="0" fontId="10" fillId="0" borderId="1" xfId="2" applyBorder="1" applyAlignment="1">
      <alignment horizontal="center" wrapText="1"/>
    </xf>
    <xf numFmtId="0" fontId="14" fillId="7" borderId="1" xfId="2" applyFont="1" applyFill="1" applyBorder="1" applyAlignment="1">
      <alignment horizontal="center"/>
    </xf>
    <xf numFmtId="0" fontId="12" fillId="7" borderId="1" xfId="2" applyFont="1" applyFill="1" applyBorder="1" applyAlignment="1">
      <alignment horizontal="left"/>
    </xf>
    <xf numFmtId="0" fontId="12" fillId="7" borderId="1" xfId="2" applyFont="1" applyFill="1" applyBorder="1"/>
    <xf numFmtId="1" fontId="12" fillId="7" borderId="1" xfId="4" applyNumberFormat="1" applyFont="1" applyFill="1" applyBorder="1" applyAlignment="1" applyProtection="1">
      <alignment horizontal="right" wrapText="1"/>
    </xf>
    <xf numFmtId="0" fontId="14" fillId="7" borderId="3" xfId="2" applyFont="1" applyFill="1" applyBorder="1" applyAlignment="1">
      <alignment horizontal="center"/>
    </xf>
    <xf numFmtId="167" fontId="12" fillId="7" borderId="1" xfId="4" applyNumberFormat="1" applyFont="1" applyFill="1" applyBorder="1" applyAlignment="1" applyProtection="1">
      <alignment horizontal="right" wrapText="1"/>
    </xf>
    <xf numFmtId="9" fontId="12" fillId="7" borderId="1" xfId="3" applyFont="1" applyFill="1" applyBorder="1" applyAlignment="1" applyProtection="1">
      <alignment horizontal="right" wrapText="1"/>
    </xf>
    <xf numFmtId="10" fontId="12" fillId="7" borderId="1" xfId="3" applyNumberFormat="1" applyFont="1" applyFill="1" applyBorder="1" applyAlignment="1" applyProtection="1">
      <alignment horizontal="right" wrapText="1"/>
    </xf>
    <xf numFmtId="1" fontId="12" fillId="7" borderId="1" xfId="2" applyNumberFormat="1" applyFont="1" applyFill="1" applyBorder="1" applyAlignment="1">
      <alignment horizontal="right" wrapText="1"/>
    </xf>
    <xf numFmtId="0" fontId="10" fillId="0" borderId="1" xfId="2" applyBorder="1" applyAlignment="1">
      <alignment horizontal="right" vertical="center"/>
    </xf>
    <xf numFmtId="10" fontId="12" fillId="7" borderId="1" xfId="2" applyNumberFormat="1" applyFont="1" applyFill="1" applyBorder="1" applyAlignment="1">
      <alignment horizontal="right" wrapText="1"/>
    </xf>
    <xf numFmtId="10" fontId="12" fillId="7" borderId="1" xfId="2" applyNumberFormat="1" applyFont="1" applyFill="1" applyBorder="1" applyAlignment="1">
      <alignment wrapText="1"/>
    </xf>
    <xf numFmtId="0" fontId="12" fillId="7" borderId="1" xfId="2" applyFont="1" applyFill="1" applyBorder="1" applyAlignment="1">
      <alignment horizontal="right" vertical="center"/>
    </xf>
    <xf numFmtId="9" fontId="10" fillId="0" borderId="1" xfId="3" applyFont="1" applyBorder="1" applyAlignment="1" applyProtection="1">
      <alignment horizontal="right" vertical="center"/>
    </xf>
    <xf numFmtId="9" fontId="10" fillId="0" borderId="1" xfId="3" applyBorder="1" applyAlignment="1" applyProtection="1">
      <alignment horizontal="right" wrapText="1"/>
      <protection locked="0"/>
    </xf>
    <xf numFmtId="0" fontId="10" fillId="0" borderId="33" xfId="2" applyFill="1" applyBorder="1"/>
    <xf numFmtId="0" fontId="10" fillId="0" borderId="31" xfId="2" applyFill="1" applyBorder="1"/>
    <xf numFmtId="0" fontId="10" fillId="0" borderId="32" xfId="2" applyFill="1" applyBorder="1"/>
    <xf numFmtId="0" fontId="10" fillId="0" borderId="34" xfId="2" applyFill="1" applyBorder="1"/>
    <xf numFmtId="0" fontId="10" fillId="0" borderId="21" xfId="2" applyBorder="1"/>
    <xf numFmtId="0" fontId="10" fillId="0" borderId="0" xfId="2" applyBorder="1"/>
    <xf numFmtId="0" fontId="10" fillId="0" borderId="16" xfId="2" applyBorder="1"/>
    <xf numFmtId="0" fontId="11" fillId="0" borderId="0" xfId="2" applyFont="1" applyBorder="1" applyAlignment="1">
      <alignment horizontal="right" vertical="center"/>
    </xf>
    <xf numFmtId="0" fontId="24" fillId="0" borderId="0" xfId="2" applyFont="1" applyBorder="1" applyAlignment="1">
      <alignment horizontal="center" vertical="center"/>
    </xf>
    <xf numFmtId="0" fontId="10" fillId="0" borderId="21" xfId="2" applyBorder="1" applyAlignment="1">
      <alignment horizontal="center"/>
    </xf>
    <xf numFmtId="0" fontId="10" fillId="0" borderId="10" xfId="2" applyBorder="1" applyAlignment="1">
      <alignment horizontal="center" wrapText="1"/>
    </xf>
    <xf numFmtId="0" fontId="10" fillId="0" borderId="14" xfId="2" applyBorder="1" applyAlignment="1" applyProtection="1">
      <alignment horizontal="center" wrapText="1"/>
      <protection locked="0"/>
    </xf>
    <xf numFmtId="0" fontId="12" fillId="0" borderId="21" xfId="2" applyFont="1" applyBorder="1" applyAlignment="1">
      <alignment horizontal="center" vertical="center" textRotation="90" wrapText="1"/>
    </xf>
    <xf numFmtId="0" fontId="10" fillId="0" borderId="44" xfId="2" applyBorder="1" applyAlignment="1">
      <alignment horizontal="center"/>
    </xf>
    <xf numFmtId="164" fontId="10" fillId="0" borderId="10" xfId="2" applyNumberFormat="1" applyBorder="1" applyAlignment="1" applyProtection="1">
      <alignment horizontal="right" wrapText="1"/>
      <protection locked="0"/>
    </xf>
    <xf numFmtId="1" fontId="10" fillId="0" borderId="10" xfId="2" applyNumberFormat="1" applyBorder="1" applyAlignment="1" applyProtection="1">
      <alignment horizontal="right" wrapText="1"/>
      <protection locked="0"/>
    </xf>
    <xf numFmtId="1" fontId="12" fillId="7" borderId="10" xfId="4" applyNumberFormat="1" applyFont="1" applyFill="1" applyBorder="1" applyAlignment="1" applyProtection="1">
      <alignment horizontal="right" wrapText="1"/>
    </xf>
    <xf numFmtId="0" fontId="22" fillId="0" borderId="21" xfId="2" applyFont="1" applyBorder="1"/>
    <xf numFmtId="0" fontId="11" fillId="0" borderId="0" xfId="2" applyFont="1" applyBorder="1" applyAlignment="1">
      <alignment horizontal="right"/>
    </xf>
    <xf numFmtId="0" fontId="10" fillId="0" borderId="0" xfId="2" applyBorder="1" applyAlignment="1">
      <alignment horizontal="right" vertical="center"/>
    </xf>
    <xf numFmtId="0" fontId="10" fillId="0" borderId="0" xfId="2" applyBorder="1" applyAlignment="1">
      <alignment horizontal="right"/>
    </xf>
    <xf numFmtId="0" fontId="10" fillId="0" borderId="16" xfId="2" applyBorder="1" applyAlignment="1">
      <alignment horizontal="right"/>
    </xf>
    <xf numFmtId="9" fontId="10" fillId="0" borderId="10" xfId="3" applyBorder="1" applyAlignment="1" applyProtection="1">
      <alignment horizontal="right" wrapText="1"/>
      <protection locked="0"/>
    </xf>
    <xf numFmtId="0" fontId="11" fillId="0" borderId="0" xfId="2" applyFont="1" applyBorder="1" applyAlignment="1">
      <alignment horizontal="center"/>
    </xf>
    <xf numFmtId="167" fontId="12" fillId="7" borderId="10" xfId="4" applyNumberFormat="1" applyFont="1" applyFill="1" applyBorder="1" applyAlignment="1" applyProtection="1">
      <alignment horizontal="right" wrapText="1"/>
    </xf>
    <xf numFmtId="9" fontId="12" fillId="7" borderId="10" xfId="3" applyFont="1" applyFill="1" applyBorder="1" applyAlignment="1" applyProtection="1">
      <alignment horizontal="right" wrapText="1"/>
    </xf>
    <xf numFmtId="2" fontId="10" fillId="0" borderId="10" xfId="2" applyNumberFormat="1" applyBorder="1" applyAlignment="1" applyProtection="1">
      <alignment horizontal="right" wrapText="1"/>
      <protection locked="0"/>
    </xf>
    <xf numFmtId="10" fontId="12" fillId="7" borderId="10" xfId="3" applyNumberFormat="1" applyFont="1" applyFill="1" applyBorder="1" applyAlignment="1" applyProtection="1">
      <alignment horizontal="right" wrapText="1"/>
    </xf>
    <xf numFmtId="1" fontId="12" fillId="7" borderId="10" xfId="2" applyNumberFormat="1" applyFont="1" applyFill="1" applyBorder="1" applyAlignment="1">
      <alignment horizontal="right" wrapText="1"/>
    </xf>
    <xf numFmtId="0" fontId="10" fillId="0" borderId="10" xfId="2" applyBorder="1" applyAlignment="1" applyProtection="1">
      <alignment horizontal="left" vertical="center" wrapText="1"/>
      <protection locked="0"/>
    </xf>
    <xf numFmtId="0" fontId="10" fillId="0" borderId="10" xfId="2" applyBorder="1"/>
    <xf numFmtId="10" fontId="12" fillId="7" borderId="10" xfId="2" applyNumberFormat="1" applyFont="1" applyFill="1" applyBorder="1" applyAlignment="1">
      <alignment wrapText="1"/>
    </xf>
    <xf numFmtId="0" fontId="10" fillId="0" borderId="9" xfId="2" applyFill="1" applyBorder="1"/>
    <xf numFmtId="0" fontId="10" fillId="0" borderId="44" xfId="2" applyBorder="1" applyAlignment="1" applyProtection="1">
      <alignment wrapText="1"/>
      <protection locked="0"/>
    </xf>
    <xf numFmtId="0" fontId="10" fillId="0" borderId="21" xfId="2" applyBorder="1" applyAlignment="1">
      <alignment horizontal="right"/>
    </xf>
    <xf numFmtId="0" fontId="10" fillId="0" borderId="22" xfId="2" applyBorder="1"/>
    <xf numFmtId="0" fontId="10" fillId="0" borderId="34" xfId="2" applyBorder="1"/>
    <xf numFmtId="0" fontId="26" fillId="0" borderId="1" xfId="0" applyFont="1" applyBorder="1"/>
    <xf numFmtId="1" fontId="10" fillId="0" borderId="10" xfId="2" applyNumberFormat="1" applyBorder="1" applyAlignment="1" applyProtection="1">
      <alignment horizontal="right" wrapText="1"/>
    </xf>
    <xf numFmtId="0" fontId="2" fillId="0" borderId="1" xfId="0" applyFont="1" applyBorder="1" applyAlignment="1">
      <alignment horizontal="left" vertical="center"/>
    </xf>
    <xf numFmtId="0" fontId="10" fillId="0" borderId="1" xfId="2" applyBorder="1" applyAlignment="1">
      <alignment horizontal="right" vertical="center"/>
    </xf>
    <xf numFmtId="9" fontId="2" fillId="0" borderId="1" xfId="0" applyNumberFormat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10" fillId="0" borderId="1" xfId="2" applyBorder="1" applyAlignment="1" applyProtection="1">
      <alignment vertical="center"/>
    </xf>
    <xf numFmtId="0" fontId="10" fillId="0" borderId="1" xfId="2" applyBorder="1" applyAlignment="1" applyProtection="1">
      <alignment vertical="center" wrapText="1"/>
    </xf>
    <xf numFmtId="167" fontId="10" fillId="0" borderId="1" xfId="4" applyNumberFormat="1" applyFont="1" applyBorder="1" applyAlignment="1" applyProtection="1">
      <alignment horizontal="center" vertical="center" wrapText="1"/>
    </xf>
    <xf numFmtId="0" fontId="10" fillId="0" borderId="1" xfId="2" applyBorder="1" applyAlignment="1" applyProtection="1">
      <alignment horizontal="left" vertical="center"/>
    </xf>
    <xf numFmtId="0" fontId="10" fillId="0" borderId="38" xfId="2" applyBorder="1" applyAlignment="1" applyProtection="1">
      <alignment horizontal="right"/>
      <protection locked="0"/>
    </xf>
    <xf numFmtId="0" fontId="10" fillId="0" borderId="3" xfId="2" applyBorder="1" applyAlignment="1" applyProtection="1">
      <alignment horizontal="right"/>
      <protection locked="0"/>
    </xf>
    <xf numFmtId="0" fontId="10" fillId="0" borderId="1" xfId="2" applyBorder="1" applyAlignment="1" applyProtection="1">
      <alignment horizontal="center" vertical="center"/>
      <protection locked="0"/>
    </xf>
    <xf numFmtId="14" fontId="4" fillId="5" borderId="1" xfId="0" applyNumberFormat="1" applyFont="1" applyFill="1" applyBorder="1" applyAlignment="1" applyProtection="1">
      <alignment vertical="center"/>
      <protection locked="0"/>
    </xf>
    <xf numFmtId="1" fontId="4" fillId="5" borderId="1" xfId="0" applyNumberFormat="1" applyFont="1" applyFill="1" applyBorder="1" applyAlignment="1" applyProtection="1">
      <alignment vertical="center"/>
      <protection locked="0"/>
    </xf>
    <xf numFmtId="14" fontId="3" fillId="5" borderId="1" xfId="0" applyNumberFormat="1" applyFont="1" applyFill="1" applyBorder="1" applyAlignment="1" applyProtection="1">
      <alignment vertical="center"/>
      <protection locked="0"/>
    </xf>
    <xf numFmtId="0" fontId="2" fillId="5" borderId="1" xfId="0" applyNumberFormat="1" applyFont="1" applyFill="1" applyBorder="1" applyAlignment="1" applyProtection="1">
      <alignment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/>
      <protection locked="0"/>
    </xf>
    <xf numFmtId="0" fontId="4" fillId="5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2" fillId="5" borderId="8" xfId="0" applyFont="1" applyFill="1" applyBorder="1" applyProtection="1">
      <protection locked="0"/>
    </xf>
    <xf numFmtId="0" fontId="2" fillId="5" borderId="10" xfId="0" applyFont="1" applyFill="1" applyBorder="1" applyProtection="1">
      <protection locked="0"/>
    </xf>
    <xf numFmtId="0" fontId="2" fillId="5" borderId="12" xfId="0" applyFont="1" applyFill="1" applyBorder="1" applyProtection="1">
      <protection locked="0"/>
    </xf>
    <xf numFmtId="0" fontId="5" fillId="5" borderId="1" xfId="0" applyFont="1" applyFill="1" applyBorder="1" applyAlignment="1" applyProtection="1">
      <alignment vertical="top"/>
      <protection locked="0"/>
    </xf>
    <xf numFmtId="0" fontId="2" fillId="0" borderId="20" xfId="0" applyFont="1" applyBorder="1"/>
    <xf numFmtId="0" fontId="26" fillId="0" borderId="10" xfId="0" applyFont="1" applyBorder="1"/>
    <xf numFmtId="2" fontId="2" fillId="0" borderId="10" xfId="0" applyNumberFormat="1" applyFont="1" applyBorder="1"/>
    <xf numFmtId="0" fontId="26" fillId="0" borderId="9" xfId="0" applyFont="1" applyBorder="1"/>
    <xf numFmtId="2" fontId="2" fillId="0" borderId="0" xfId="0" applyNumberFormat="1" applyFont="1" applyBorder="1"/>
    <xf numFmtId="0" fontId="26" fillId="0" borderId="11" xfId="0" applyFont="1" applyBorder="1"/>
    <xf numFmtId="0" fontId="2" fillId="0" borderId="46" xfId="0" applyFont="1" applyBorder="1"/>
    <xf numFmtId="0" fontId="3" fillId="0" borderId="1" xfId="0" applyFont="1" applyFill="1" applyBorder="1" applyAlignment="1" applyProtection="1">
      <alignment horizontal="center" vertical="center"/>
    </xf>
    <xf numFmtId="10" fontId="2" fillId="0" borderId="1" xfId="1" applyNumberFormat="1" applyFont="1" applyFill="1" applyBorder="1" applyProtection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3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 applyProtection="1">
      <alignment horizontal="center" vertical="center"/>
      <protection locked="0"/>
    </xf>
    <xf numFmtId="165" fontId="2" fillId="5" borderId="2" xfId="0" applyNumberFormat="1" applyFont="1" applyFill="1" applyBorder="1" applyAlignment="1" applyProtection="1">
      <alignment horizontal="center" vertical="center"/>
      <protection locked="0"/>
    </xf>
    <xf numFmtId="165" fontId="2" fillId="5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left" vertical="top"/>
      <protection locked="0"/>
    </xf>
    <xf numFmtId="0" fontId="5" fillId="0" borderId="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8" fillId="0" borderId="0" xfId="2" applyFont="1" applyAlignment="1">
      <alignment horizontal="center"/>
    </xf>
    <xf numFmtId="0" fontId="10" fillId="0" borderId="0" xfId="2" applyAlignment="1">
      <alignment horizontal="center"/>
    </xf>
    <xf numFmtId="0" fontId="19" fillId="0" borderId="1" xfId="2" applyFont="1" applyBorder="1" applyAlignment="1">
      <alignment horizontal="left"/>
    </xf>
    <xf numFmtId="0" fontId="19" fillId="0" borderId="2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12" fillId="0" borderId="1" xfId="2" applyFont="1" applyBorder="1" applyAlignment="1">
      <alignment horizontal="center"/>
    </xf>
    <xf numFmtId="0" fontId="11" fillId="0" borderId="42" xfId="2" applyFont="1" applyBorder="1" applyAlignment="1">
      <alignment horizontal="center" vertical="center"/>
    </xf>
    <xf numFmtId="0" fontId="11" fillId="0" borderId="43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0" fillId="7" borderId="1" xfId="2" quotePrefix="1" applyFont="1" applyFill="1" applyBorder="1" applyAlignment="1">
      <alignment horizontal="right"/>
    </xf>
    <xf numFmtId="0" fontId="10" fillId="7" borderId="1" xfId="2" applyFont="1" applyFill="1" applyBorder="1" applyAlignment="1">
      <alignment horizontal="right"/>
    </xf>
    <xf numFmtId="0" fontId="16" fillId="0" borderId="1" xfId="2" applyFont="1" applyBorder="1" applyAlignment="1">
      <alignment horizontal="center" vertical="center"/>
    </xf>
    <xf numFmtId="0" fontId="10" fillId="0" borderId="2" xfId="2" applyBorder="1" applyAlignment="1">
      <alignment horizontal="center" vertical="center"/>
    </xf>
    <xf numFmtId="0" fontId="10" fillId="0" borderId="44" xfId="2" applyBorder="1" applyAlignment="1">
      <alignment horizontal="center" vertical="center"/>
    </xf>
    <xf numFmtId="0" fontId="10" fillId="0" borderId="1" xfId="2" applyBorder="1" applyAlignment="1">
      <alignment horizontal="right"/>
    </xf>
    <xf numFmtId="0" fontId="10" fillId="0" borderId="40" xfId="2" applyBorder="1" applyAlignment="1" applyProtection="1">
      <alignment horizontal="center" wrapText="1"/>
      <protection locked="0"/>
    </xf>
    <xf numFmtId="0" fontId="10" fillId="0" borderId="35" xfId="2" applyBorder="1" applyAlignment="1" applyProtection="1">
      <alignment horizontal="center" wrapText="1"/>
      <protection locked="0"/>
    </xf>
    <xf numFmtId="0" fontId="10" fillId="0" borderId="30" xfId="2" applyBorder="1" applyAlignment="1" applyProtection="1">
      <alignment horizontal="center" wrapText="1"/>
      <protection locked="0"/>
    </xf>
    <xf numFmtId="0" fontId="10" fillId="0" borderId="16" xfId="2" applyBorder="1" applyAlignment="1" applyProtection="1">
      <alignment horizontal="center" wrapText="1"/>
      <protection locked="0"/>
    </xf>
    <xf numFmtId="0" fontId="10" fillId="0" borderId="39" xfId="2" applyBorder="1" applyAlignment="1" applyProtection="1">
      <alignment horizontal="center" wrapText="1"/>
      <protection locked="0"/>
    </xf>
    <xf numFmtId="0" fontId="10" fillId="0" borderId="37" xfId="2" applyBorder="1" applyAlignment="1" applyProtection="1">
      <alignment horizontal="center" wrapText="1"/>
      <protection locked="0"/>
    </xf>
    <xf numFmtId="10" fontId="16" fillId="6" borderId="1" xfId="2" applyNumberFormat="1" applyFont="1" applyFill="1" applyBorder="1" applyAlignment="1">
      <alignment horizontal="center" vertical="center"/>
    </xf>
    <xf numFmtId="14" fontId="16" fillId="6" borderId="1" xfId="2" applyNumberFormat="1" applyFont="1" applyFill="1" applyBorder="1" applyAlignment="1">
      <alignment horizontal="center" vertical="center"/>
    </xf>
    <xf numFmtId="0" fontId="20" fillId="0" borderId="13" xfId="2" applyFont="1" applyBorder="1" applyAlignment="1">
      <alignment horizontal="center" vertical="center" textRotation="90" wrapText="1"/>
    </xf>
    <xf numFmtId="0" fontId="20" fillId="0" borderId="15" xfId="2" applyFont="1" applyBorder="1" applyAlignment="1">
      <alignment horizontal="center" vertical="center" textRotation="90" wrapText="1"/>
    </xf>
    <xf numFmtId="0" fontId="20" fillId="0" borderId="23" xfId="2" applyFont="1" applyBorder="1" applyAlignment="1">
      <alignment horizontal="center" vertical="center" textRotation="90" wrapText="1"/>
    </xf>
    <xf numFmtId="0" fontId="15" fillId="0" borderId="20" xfId="2" applyFont="1" applyFill="1" applyBorder="1" applyAlignment="1">
      <alignment vertical="center"/>
    </xf>
    <xf numFmtId="0" fontId="15" fillId="0" borderId="31" xfId="2" applyFont="1" applyFill="1" applyBorder="1" applyAlignment="1">
      <alignment vertical="center"/>
    </xf>
    <xf numFmtId="0" fontId="25" fillId="0" borderId="31" xfId="2" applyFont="1" applyFill="1" applyBorder="1" applyAlignment="1">
      <alignment horizontal="center" vertical="center"/>
    </xf>
    <xf numFmtId="0" fontId="10" fillId="0" borderId="31" xfId="2" applyFill="1" applyBorder="1"/>
    <xf numFmtId="0" fontId="10" fillId="0" borderId="33" xfId="2" applyFill="1" applyBorder="1"/>
    <xf numFmtId="0" fontId="15" fillId="0" borderId="22" xfId="2" applyFont="1" applyFill="1" applyBorder="1" applyAlignment="1">
      <alignment vertical="center"/>
    </xf>
    <xf numFmtId="0" fontId="15" fillId="0" borderId="33" xfId="2" applyFont="1" applyFill="1" applyBorder="1" applyAlignment="1">
      <alignment vertical="center"/>
    </xf>
    <xf numFmtId="0" fontId="10" fillId="0" borderId="1" xfId="2" applyNumberFormat="1" applyBorder="1" applyAlignment="1" applyProtection="1">
      <alignment vertical="center" wrapText="1"/>
    </xf>
    <xf numFmtId="14" fontId="10" fillId="0" borderId="2" xfId="2" applyNumberFormat="1" applyBorder="1" applyAlignment="1" applyProtection="1">
      <alignment horizontal="center" vertical="center" wrapText="1"/>
    </xf>
    <xf numFmtId="14" fontId="10" fillId="0" borderId="4" xfId="2" applyNumberFormat="1" applyBorder="1" applyAlignment="1" applyProtection="1">
      <alignment horizontal="center" vertical="center" wrapText="1"/>
    </xf>
    <xf numFmtId="14" fontId="10" fillId="0" borderId="44" xfId="2" applyNumberFormat="1" applyBorder="1" applyAlignment="1" applyProtection="1">
      <alignment horizontal="center" vertical="center" wrapText="1"/>
    </xf>
    <xf numFmtId="0" fontId="10" fillId="0" borderId="2" xfId="2" applyNumberFormat="1" applyBorder="1" applyAlignment="1" applyProtection="1">
      <alignment horizontal="center" vertical="center" wrapText="1"/>
    </xf>
    <xf numFmtId="0" fontId="10" fillId="0" borderId="4" xfId="2" applyNumberFormat="1" applyBorder="1" applyAlignment="1" applyProtection="1">
      <alignment horizontal="center" vertical="center" wrapText="1"/>
    </xf>
    <xf numFmtId="0" fontId="10" fillId="0" borderId="44" xfId="2" applyNumberFormat="1" applyBorder="1" applyAlignment="1" applyProtection="1">
      <alignment horizontal="center" vertical="center" wrapText="1"/>
    </xf>
    <xf numFmtId="0" fontId="10" fillId="0" borderId="40" xfId="2" applyBorder="1" applyAlignment="1">
      <alignment horizontal="right" vertical="center"/>
    </xf>
    <xf numFmtId="0" fontId="10" fillId="0" borderId="41" xfId="2" applyBorder="1" applyAlignment="1">
      <alignment horizontal="right" vertical="center"/>
    </xf>
    <xf numFmtId="0" fontId="10" fillId="0" borderId="1" xfId="2" applyBorder="1" applyAlignment="1">
      <alignment horizontal="right" vertical="center"/>
    </xf>
    <xf numFmtId="0" fontId="22" fillId="0" borderId="15" xfId="2" applyFont="1" applyBorder="1" applyAlignment="1">
      <alignment horizontal="center" vertical="center" textRotation="90" wrapText="1"/>
    </xf>
    <xf numFmtId="0" fontId="22" fillId="0" borderId="23" xfId="2" applyFont="1" applyBorder="1" applyAlignment="1">
      <alignment horizontal="center" vertical="center" textRotation="90" wrapText="1"/>
    </xf>
    <xf numFmtId="0" fontId="20" fillId="0" borderId="9" xfId="2" applyFont="1" applyBorder="1" applyAlignment="1">
      <alignment horizontal="center" vertical="center" textRotation="90" wrapText="1"/>
    </xf>
    <xf numFmtId="0" fontId="26" fillId="0" borderId="1" xfId="0" applyFont="1" applyBorder="1" applyAlignment="1">
      <alignment horizontal="center" vertical="center"/>
    </xf>
    <xf numFmtId="0" fontId="26" fillId="0" borderId="45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6" fillId="0" borderId="39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left" vertical="top" wrapText="1"/>
      <protection locked="0"/>
    </xf>
    <xf numFmtId="0" fontId="5" fillId="5" borderId="40" xfId="0" applyFont="1" applyFill="1" applyBorder="1" applyAlignment="1">
      <alignment horizontal="center" vertical="center"/>
    </xf>
    <xf numFmtId="0" fontId="5" fillId="5" borderId="47" xfId="0" applyFont="1" applyFill="1" applyBorder="1" applyAlignment="1">
      <alignment horizontal="center" vertical="center"/>
    </xf>
    <xf numFmtId="0" fontId="5" fillId="5" borderId="41" xfId="0" applyFont="1" applyFill="1" applyBorder="1" applyAlignment="1">
      <alignment horizontal="center" vertical="center"/>
    </xf>
    <xf numFmtId="0" fontId="5" fillId="5" borderId="39" xfId="0" applyFont="1" applyFill="1" applyBorder="1" applyAlignment="1">
      <alignment horizontal="center" vertical="center"/>
    </xf>
    <xf numFmtId="0" fontId="5" fillId="5" borderId="36" xfId="0" applyFont="1" applyFill="1" applyBorder="1" applyAlignment="1">
      <alignment horizontal="center" vertical="center"/>
    </xf>
    <xf numFmtId="0" fontId="5" fillId="5" borderId="38" xfId="0" applyFont="1" applyFill="1" applyBorder="1" applyAlignment="1">
      <alignment horizontal="center" vertical="center"/>
    </xf>
    <xf numFmtId="0" fontId="4" fillId="5" borderId="1" xfId="0" applyFont="1" applyFill="1" applyBorder="1" applyAlignment="1" applyProtection="1">
      <alignment horizontal="center"/>
      <protection locked="0"/>
    </xf>
    <xf numFmtId="0" fontId="2" fillId="0" borderId="42" xfId="0" applyFont="1" applyBorder="1" applyAlignment="1">
      <alignment horizontal="center" vertical="center" textRotation="90" wrapText="1"/>
    </xf>
    <xf numFmtId="0" fontId="2" fillId="0" borderId="43" xfId="0" applyFont="1" applyBorder="1" applyAlignment="1">
      <alignment horizontal="center" vertical="center" textRotation="90" wrapText="1"/>
    </xf>
    <xf numFmtId="0" fontId="2" fillId="0" borderId="6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horizontal="center" vertical="center"/>
    </xf>
    <xf numFmtId="0" fontId="2" fillId="5" borderId="8" xfId="0" applyFont="1" applyFill="1" applyBorder="1" applyAlignment="1" applyProtection="1">
      <alignment horizontal="center" vertical="center"/>
      <protection locked="0"/>
    </xf>
  </cellXfs>
  <cellStyles count="5">
    <cellStyle name="Dziesiętny 2" xfId="4" xr:uid="{9F56F28A-22A3-F846-B90A-C7696995ABEA}"/>
    <cellStyle name="Normalny" xfId="0" builtinId="0"/>
    <cellStyle name="Normalny 2" xfId="2" xr:uid="{EA10F316-041F-AF4D-97D9-D5E3B163CA31}"/>
    <cellStyle name="Procentowy" xfId="1" builtinId="5"/>
    <cellStyle name="Procentowy 2" xfId="3" xr:uid="{169AA56C-6C87-2B4B-AD05-1C5CEA4A955F}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Przestoje na produkcji [min]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'R@R_data base'!$B$30</c:f>
              <c:strCache>
                <c:ptCount val="1"/>
                <c:pt idx="0">
                  <c:v>mikroprzestoje</c:v>
                </c:pt>
              </c:strCache>
            </c:strRef>
          </c:tx>
          <c:spPr>
            <a:noFill/>
            <a:ln w="9525" cap="flat" cmpd="sng" algn="ctr">
              <a:solidFill>
                <a:schemeClr val="accent2"/>
              </a:solidFill>
              <a:miter lim="800000"/>
            </a:ln>
            <a:effectLst>
              <a:outerShdw blurRad="63500" sx="102000" sy="102000" algn="ctr" rotWithShape="0">
                <a:schemeClr val="accent2">
                  <a:alpha val="40000"/>
                </a:scheme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'R@R_data base'!$B$41</c:f>
              <c:numCache>
                <c:formatCode>General</c:formatCode>
                <c:ptCount val="1"/>
                <c:pt idx="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C9-234F-A632-F249F117109F}"/>
            </c:ext>
          </c:extLst>
        </c:ser>
        <c:ser>
          <c:idx val="1"/>
          <c:order val="1"/>
          <c:tx>
            <c:strRef>
              <c:f>'R@R_data base'!$C$30</c:f>
              <c:strCache>
                <c:ptCount val="1"/>
                <c:pt idx="0">
                  <c:v>planowane postoje </c:v>
                </c:pt>
              </c:strCache>
            </c:strRef>
          </c:tx>
          <c:spPr>
            <a:noFill/>
            <a:ln w="9525" cap="flat" cmpd="sng" algn="ctr">
              <a:solidFill>
                <a:schemeClr val="accent6"/>
              </a:solidFill>
              <a:miter lim="800000"/>
            </a:ln>
            <a:effectLst>
              <a:glow rad="63500">
                <a:schemeClr val="accent2">
                  <a:satMod val="175000"/>
                  <a:alpha val="25000"/>
                </a:schemeClr>
              </a:glow>
            </a:effectLst>
          </c:spPr>
          <c:invertIfNegative val="0"/>
          <c:dPt>
            <c:idx val="0"/>
            <c:invertIfNegative val="0"/>
            <c:bubble3D val="0"/>
            <c:spPr>
              <a:noFill/>
              <a:ln w="9525" cap="flat" cmpd="sng" algn="ctr">
                <a:solidFill>
                  <a:schemeClr val="accent6"/>
                </a:solidFill>
                <a:miter lim="800000"/>
              </a:ln>
              <a:effectLst>
                <a:outerShdw blurRad="50800" dist="38100" dir="2700000" algn="tl" rotWithShape="0">
                  <a:schemeClr val="accent6">
                    <a:alpha val="4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8C9-234F-A632-F249F11710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'R@R_data base'!$C$41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C9-234F-A632-F249F117109F}"/>
            </c:ext>
          </c:extLst>
        </c:ser>
        <c:ser>
          <c:idx val="2"/>
          <c:order val="2"/>
          <c:tx>
            <c:strRef>
              <c:f>'R@R_data base'!$D$30</c:f>
              <c:strCache>
                <c:ptCount val="1"/>
                <c:pt idx="0">
                  <c:v>pozostałe</c:v>
                </c:pt>
              </c:strCache>
            </c:strRef>
          </c:tx>
          <c:spPr>
            <a:noFill/>
            <a:ln w="9525" cap="flat" cmpd="sng" algn="ctr">
              <a:solidFill>
                <a:schemeClr val="accent3"/>
              </a:solidFill>
              <a:miter lim="800000"/>
            </a:ln>
            <a:effectLst>
              <a:glow rad="63500">
                <a:schemeClr val="accent3">
                  <a:satMod val="175000"/>
                  <a:alpha val="25000"/>
                </a:schemeClr>
              </a:glo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'R@R_data base'!$D$41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C9-234F-A632-F249F1171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1966175"/>
        <c:axId val="1581554143"/>
      </c:barChart>
      <c:catAx>
        <c:axId val="1581966175"/>
        <c:scaling>
          <c:orientation val="minMax"/>
        </c:scaling>
        <c:delete val="1"/>
        <c:axPos val="l"/>
        <c:majorTickMark val="none"/>
        <c:minorTickMark val="none"/>
        <c:tickLblPos val="nextTo"/>
        <c:crossAx val="1581554143"/>
        <c:crosses val="autoZero"/>
        <c:auto val="1"/>
        <c:lblAlgn val="ctr"/>
        <c:lblOffset val="100"/>
        <c:noMultiLvlLbl val="0"/>
      </c:catAx>
      <c:valAx>
        <c:axId val="158155414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0">
                    <a:schemeClr val="dk1">
                      <a:lumMod val="65000"/>
                      <a:lumOff val="35000"/>
                    </a:schemeClr>
                  </a:gs>
                  <a:gs pos="100000">
                    <a:schemeClr val="dk1">
                      <a:lumMod val="75000"/>
                      <a:lumOff val="25000"/>
                    </a:schemeClr>
                  </a:gs>
                </a:gsLst>
                <a:lin ang="108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81966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Ilości wyprodukowane [szt.]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noFill/>
            <a:ln w="9525" cap="flat" cmpd="sng" algn="ctr">
              <a:solidFill>
                <a:schemeClr val="accent1"/>
              </a:solidFill>
              <a:miter lim="800000"/>
            </a:ln>
            <a:effectLst>
              <a:glow rad="63500">
                <a:schemeClr val="accent1">
                  <a:satMod val="175000"/>
                  <a:alpha val="25000"/>
                </a:schemeClr>
              </a:glow>
            </a:effectLst>
          </c:spPr>
          <c:invertIfNegative val="0"/>
          <c:cat>
            <c:strRef>
              <c:f>'R@R_data base'!$B$15:$B$17</c:f>
              <c:strCache>
                <c:ptCount val="3"/>
                <c:pt idx="0">
                  <c:v>ilość wyprodukowana</c:v>
                </c:pt>
                <c:pt idx="1">
                  <c:v>ilość części Ok</c:v>
                </c:pt>
                <c:pt idx="2">
                  <c:v>Ilość części NOk</c:v>
                </c:pt>
              </c:strCache>
            </c:strRef>
          </c:cat>
          <c:val>
            <c:numRef>
              <c:f>'R@R_data base'!$C$15:$C$17</c:f>
              <c:numCache>
                <c:formatCode>General</c:formatCode>
                <c:ptCount val="3"/>
              </c:numCache>
            </c:numRef>
          </c:val>
          <c:extLst>
            <c:ext xmlns:c16="http://schemas.microsoft.com/office/drawing/2014/chart" uri="{C3380CC4-5D6E-409C-BE32-E72D297353CC}">
              <c16:uniqueId val="{00000000-6D1C-3D4A-B7F3-2A9D548DD154}"/>
            </c:ext>
          </c:extLst>
        </c:ser>
        <c:ser>
          <c:idx val="1"/>
          <c:order val="1"/>
          <c:spPr>
            <a:noFill/>
            <a:ln w="9525" cap="flat" cmpd="sng" algn="ctr">
              <a:solidFill>
                <a:schemeClr val="accent2"/>
              </a:solidFill>
              <a:miter lim="800000"/>
            </a:ln>
            <a:effectLst>
              <a:glow rad="63500">
                <a:schemeClr val="accent2">
                  <a:satMod val="175000"/>
                  <a:alpha val="25000"/>
                </a:schemeClr>
              </a:glow>
            </a:effectLst>
          </c:spPr>
          <c:invertIfNegative val="0"/>
          <c:dPt>
            <c:idx val="0"/>
            <c:invertIfNegative val="0"/>
            <c:bubble3D val="0"/>
            <c:spPr>
              <a:noFill/>
              <a:ln w="9525" cap="flat" cmpd="sng" algn="ctr">
                <a:solidFill>
                  <a:srgbClr val="0070C0"/>
                </a:solidFill>
                <a:miter lim="800000"/>
              </a:ln>
              <a:effectLst>
                <a:outerShdw blurRad="63500" sx="102000" sy="102000" algn="ctr" rotWithShape="0">
                  <a:schemeClr val="accent5">
                    <a:alpha val="4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6D1C-3D4A-B7F3-2A9D548DD154}"/>
              </c:ext>
            </c:extLst>
          </c:dPt>
          <c:dPt>
            <c:idx val="1"/>
            <c:invertIfNegative val="0"/>
            <c:bubble3D val="0"/>
            <c:spPr>
              <a:noFill/>
              <a:ln w="9525" cap="flat" cmpd="sng" algn="ctr">
                <a:solidFill>
                  <a:srgbClr val="00B050"/>
                </a:solidFill>
                <a:miter lim="800000"/>
              </a:ln>
              <a:effectLst>
                <a:outerShdw blurRad="63500" sx="102000" sy="102000" algn="ctr" rotWithShape="0">
                  <a:schemeClr val="accent6">
                    <a:alpha val="4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6D1C-3D4A-B7F3-2A9D548DD154}"/>
              </c:ext>
            </c:extLst>
          </c:dPt>
          <c:dPt>
            <c:idx val="2"/>
            <c:invertIfNegative val="0"/>
            <c:bubble3D val="0"/>
            <c:spPr>
              <a:noFill/>
              <a:ln w="9525" cap="flat" cmpd="sng" algn="ctr">
                <a:solidFill>
                  <a:srgbClr val="FF0000"/>
                </a:solidFill>
                <a:miter lim="800000"/>
              </a:ln>
              <a:effectLst>
                <a:outerShdw blurRad="63500" sx="102000" sy="102000" algn="ctr" rotWithShape="0">
                  <a:srgbClr val="FF0000">
                    <a:alpha val="40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6D1C-3D4A-B7F3-2A9D548DD154}"/>
              </c:ext>
            </c:extLst>
          </c:dPt>
          <c:cat>
            <c:strRef>
              <c:f>'R@R_data base'!$B$15:$B$17</c:f>
              <c:strCache>
                <c:ptCount val="3"/>
                <c:pt idx="0">
                  <c:v>ilość wyprodukowana</c:v>
                </c:pt>
                <c:pt idx="1">
                  <c:v>ilość części Ok</c:v>
                </c:pt>
                <c:pt idx="2">
                  <c:v>Ilość części NOk</c:v>
                </c:pt>
              </c:strCache>
            </c:strRef>
          </c:cat>
          <c:val>
            <c:numRef>
              <c:f>'R@R_data base'!$D$15:$D$17</c:f>
              <c:numCache>
                <c:formatCode>General</c:formatCode>
                <c:ptCount val="3"/>
                <c:pt idx="0">
                  <c:v>100</c:v>
                </c:pt>
                <c:pt idx="1">
                  <c:v>5</c:v>
                </c:pt>
                <c:pt idx="2">
                  <c:v>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1C-3D4A-B7F3-2A9D548DD1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81729199"/>
        <c:axId val="1582114383"/>
      </c:barChart>
      <c:catAx>
        <c:axId val="15817291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82114383"/>
        <c:crosses val="autoZero"/>
        <c:auto val="1"/>
        <c:lblAlgn val="ctr"/>
        <c:lblOffset val="100"/>
        <c:noMultiLvlLbl val="0"/>
      </c:catAx>
      <c:valAx>
        <c:axId val="158211438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0">
                    <a:schemeClr val="dk1">
                      <a:lumMod val="65000"/>
                      <a:lumOff val="35000"/>
                    </a:schemeClr>
                  </a:gs>
                  <a:gs pos="100000">
                    <a:schemeClr val="dk1">
                      <a:lumMod val="75000"/>
                      <a:lumOff val="25000"/>
                    </a:schemeClr>
                  </a:gs>
                </a:gsLst>
                <a:lin ang="108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81729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Przestoje na produkcji [min]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'R@R_data base'!$B$29:$D$29</c:f>
              <c:strCache>
                <c:ptCount val="3"/>
                <c:pt idx="0">
                  <c:v>przestoje w produkcji [ilość]</c:v>
                </c:pt>
              </c:strCache>
            </c:strRef>
          </c:tx>
          <c:dPt>
            <c:idx val="0"/>
            <c:bubble3D val="0"/>
            <c:spPr>
              <a:noFill/>
              <a:ln w="9525" cap="flat" cmpd="sng" algn="ctr">
                <a:solidFill>
                  <a:schemeClr val="accent2"/>
                </a:solidFill>
                <a:miter lim="800000"/>
              </a:ln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5FD4-F94A-91EA-BBCD13A8B262}"/>
              </c:ext>
            </c:extLst>
          </c:dPt>
          <c:dPt>
            <c:idx val="1"/>
            <c:bubble3D val="0"/>
            <c:spPr>
              <a:noFill/>
              <a:ln w="9525" cap="flat" cmpd="sng" algn="ctr">
                <a:solidFill>
                  <a:srgbClr val="00B050"/>
                </a:solidFill>
                <a:miter lim="800000"/>
              </a:ln>
              <a:effectLst/>
            </c:spPr>
            <c:extLst>
              <c:ext xmlns:c16="http://schemas.microsoft.com/office/drawing/2014/chart" uri="{C3380CC4-5D6E-409C-BE32-E72D297353CC}">
                <c16:uniqueId val="{00000006-5FD4-F94A-91EA-BBCD13A8B262}"/>
              </c:ext>
            </c:extLst>
          </c:dPt>
          <c:dPt>
            <c:idx val="2"/>
            <c:bubble3D val="0"/>
            <c:spPr>
              <a:noFill/>
              <a:ln w="9525" cap="flat" cmpd="sng" algn="ctr">
                <a:solidFill>
                  <a:schemeClr val="accent3"/>
                </a:solidFill>
                <a:miter lim="800000"/>
              </a:ln>
              <a:effectLst/>
            </c:spPr>
            <c:extLst>
              <c:ext xmlns:c16="http://schemas.microsoft.com/office/drawing/2014/chart" uri="{C3380CC4-5D6E-409C-BE32-E72D297353CC}">
                <c16:uniqueId val="{00000005-5FD4-F94A-91EA-BBCD13A8B262}"/>
              </c:ext>
            </c:extLst>
          </c:dPt>
          <c:dLbls>
            <c:dLbl>
              <c:idx val="0"/>
              <c:layout>
                <c:manualLayout>
                  <c:x val="0.12314609698857271"/>
                  <c:y val="7.7320256110643817E-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,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FD4-F94A-91EA-BBCD13A8B262}"/>
                </c:ext>
              </c:extLst>
            </c:dLbl>
            <c:dLbl>
              <c:idx val="1"/>
              <c:layout>
                <c:manualLayout>
                  <c:x val="-0.13818241469816278"/>
                  <c:y val="2.2309098467548174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,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FD4-F94A-91EA-BBCD13A8B262}"/>
                </c:ext>
              </c:extLst>
            </c:dLbl>
            <c:dLbl>
              <c:idx val="2"/>
              <c:layout>
                <c:manualLayout>
                  <c:x val="-7.9784558180227477E-2"/>
                  <c:y val="8.2620193119062012E-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,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FD4-F94A-91EA-BBCD13A8B26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, </c:separator>
            <c:showLeaderLines val="1"/>
            <c:leaderLines>
              <c:spPr>
                <a:ln w="9525">
                  <a:solidFill>
                    <a:schemeClr val="lt1">
                      <a:lumMod val="50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'R@R_data base'!$B$41:$D$41</c:f>
              <c:numCache>
                <c:formatCode>General</c:formatCode>
                <c:ptCount val="3"/>
                <c:pt idx="0">
                  <c:v>9</c:v>
                </c:pt>
                <c:pt idx="1">
                  <c:v>35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D4-F94A-91EA-BBCD13A8B262}"/>
            </c:ext>
          </c:extLst>
        </c:ser>
        <c:ser>
          <c:idx val="1"/>
          <c:order val="1"/>
          <c:tx>
            <c:strRef>
              <c:f>'R@R_data base'!$C$30</c:f>
              <c:strCache>
                <c:ptCount val="1"/>
                <c:pt idx="0">
                  <c:v>planowane postoje </c:v>
                </c:pt>
              </c:strCache>
            </c:strRef>
          </c:tx>
          <c:dPt>
            <c:idx val="0"/>
            <c:bubble3D val="0"/>
            <c:spPr>
              <a:noFill/>
              <a:ln w="9525" cap="flat" cmpd="sng" algn="ctr">
                <a:solidFill>
                  <a:schemeClr val="accent6"/>
                </a:solidFill>
                <a:miter lim="800000"/>
              </a:ln>
              <a:effectLst>
                <a:outerShdw blurRad="50800" dist="38100" dir="2700000" algn="tl" rotWithShape="0">
                  <a:schemeClr val="accent6">
                    <a:alpha val="4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5FD4-F94A-91EA-BBCD13A8B262}"/>
              </c:ext>
            </c:extLst>
          </c:dPt>
          <c:val>
            <c:numRef>
              <c:f>'R@R_data base'!$C$41</c:f>
              <c:numCache>
                <c:formatCode>General</c:formatCode>
                <c:ptCount val="1"/>
                <c:pt idx="0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FD4-F94A-91EA-BBCD13A8B262}"/>
            </c:ext>
          </c:extLst>
        </c:ser>
        <c:ser>
          <c:idx val="2"/>
          <c:order val="2"/>
          <c:tx>
            <c:strRef>
              <c:f>'R@R_data base'!$D$30</c:f>
              <c:strCache>
                <c:ptCount val="1"/>
                <c:pt idx="0">
                  <c:v>pozostałe</c:v>
                </c:pt>
              </c:strCache>
            </c:strRef>
          </c:tx>
          <c:dPt>
            <c:idx val="0"/>
            <c:bubble3D val="0"/>
            <c:spPr>
              <a:noFill/>
              <a:ln w="9525" cap="flat" cmpd="sng" algn="ctr">
                <a:solidFill>
                  <a:schemeClr val="accent1"/>
                </a:solidFill>
                <a:miter lim="800000"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  <c:extLst>
              <c:ext xmlns:c16="http://schemas.microsoft.com/office/drawing/2014/chart" uri="{C3380CC4-5D6E-409C-BE32-E72D297353CC}">
                <c16:uniqueId val="{00000009-3E77-3248-9DE1-49DDDD198A33}"/>
              </c:ext>
            </c:extLst>
          </c:dPt>
          <c:val>
            <c:numRef>
              <c:f>'R@R_data base'!$D$41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D4-F94A-91EA-BBCD13A8B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Wykres</a:t>
            </a:r>
            <a:r>
              <a:rPr lang="pl-PL" baseline="0"/>
              <a:t> produkcji godzinowej - szacowanie: 4 godziny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'R@R_data base'!$C$47</c:f>
              <c:strCache>
                <c:ptCount val="1"/>
                <c:pt idx="0">
                  <c:v>szacowana</c:v>
                </c:pt>
              </c:strCache>
            </c:strRef>
          </c:tx>
          <c:spPr>
            <a:ln w="22225" cap="rnd">
              <a:solidFill>
                <a:srgbClr val="00B050"/>
              </a:solidFill>
              <a:prstDash val="sysDash"/>
            </a:ln>
            <a:effectLst/>
          </c:spPr>
          <c:marker>
            <c:symbol val="none"/>
          </c:marker>
          <c:dLbls>
            <c:dLbl>
              <c:idx val="23"/>
              <c:layout>
                <c:manualLayout>
                  <c:x val="-2.2886175161193605E-2"/>
                  <c:y val="-2.04341115471842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FA4-E148-9B40-0D742B79D5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'R@R_data base'!$C$48:$C$71</c:f>
              <c:numCache>
                <c:formatCode>0</c:formatCode>
                <c:ptCount val="24"/>
                <c:pt idx="0">
                  <c:v>2.0833333333333335</c:v>
                </c:pt>
                <c:pt idx="1">
                  <c:v>4.166666666666667</c:v>
                </c:pt>
                <c:pt idx="2">
                  <c:v>6.25</c:v>
                </c:pt>
                <c:pt idx="3">
                  <c:v>8.3333333333333339</c:v>
                </c:pt>
                <c:pt idx="4">
                  <c:v>10.416666666666666</c:v>
                </c:pt>
                <c:pt idx="5">
                  <c:v>12.5</c:v>
                </c:pt>
                <c:pt idx="6">
                  <c:v>14.583333333333334</c:v>
                </c:pt>
                <c:pt idx="7">
                  <c:v>16.666666666666668</c:v>
                </c:pt>
                <c:pt idx="8">
                  <c:v>18.75</c:v>
                </c:pt>
                <c:pt idx="9">
                  <c:v>20.833333333333332</c:v>
                </c:pt>
                <c:pt idx="10">
                  <c:v>22.916666666666668</c:v>
                </c:pt>
                <c:pt idx="11">
                  <c:v>25</c:v>
                </c:pt>
                <c:pt idx="12">
                  <c:v>27.083333333333332</c:v>
                </c:pt>
                <c:pt idx="13">
                  <c:v>29.166666666666668</c:v>
                </c:pt>
                <c:pt idx="14">
                  <c:v>31.25</c:v>
                </c:pt>
                <c:pt idx="15">
                  <c:v>33.333333333333336</c:v>
                </c:pt>
                <c:pt idx="16">
                  <c:v>35.416666666666664</c:v>
                </c:pt>
                <c:pt idx="17">
                  <c:v>37.5</c:v>
                </c:pt>
                <c:pt idx="18">
                  <c:v>39.583333333333336</c:v>
                </c:pt>
                <c:pt idx="19">
                  <c:v>41.666666666666664</c:v>
                </c:pt>
                <c:pt idx="20">
                  <c:v>43.75</c:v>
                </c:pt>
                <c:pt idx="21">
                  <c:v>45.833333333333336</c:v>
                </c:pt>
                <c:pt idx="22">
                  <c:v>47.916666666666664</c:v>
                </c:pt>
                <c:pt idx="23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A4-E148-9B40-0D742B79D53D}"/>
            </c:ext>
          </c:extLst>
        </c:ser>
        <c:ser>
          <c:idx val="1"/>
          <c:order val="1"/>
          <c:tx>
            <c:strRef>
              <c:f>'R@R_data base'!$D$47</c:f>
              <c:strCache>
                <c:ptCount val="1"/>
                <c:pt idx="0">
                  <c:v>osiągnięta</c:v>
                </c:pt>
              </c:strCache>
            </c:strRef>
          </c:tx>
          <c:spPr>
            <a:ln w="22225" cap="rnd">
              <a:solidFill>
                <a:srgbClr val="FF00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val>
            <c:numRef>
              <c:f>'R@R_data base'!$D$48:$D$71</c:f>
              <c:numCache>
                <c:formatCode>General</c:formatCode>
                <c:ptCount val="2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A4-E148-9B40-0D742B79D5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1683151"/>
        <c:axId val="1559501071"/>
      </c:lineChart>
      <c:catAx>
        <c:axId val="1541683151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59501071"/>
        <c:crosses val="autoZero"/>
        <c:auto val="1"/>
        <c:lblAlgn val="ctr"/>
        <c:lblOffset val="100"/>
        <c:tickLblSkip val="1"/>
        <c:noMultiLvlLbl val="0"/>
      </c:catAx>
      <c:valAx>
        <c:axId val="1559501071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416831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l-PL"/>
              <a:t>Wykres</a:t>
            </a:r>
            <a:r>
              <a:rPr lang="pl-PL" baseline="0"/>
              <a:t> produkcji godzinowej - szacowanie: 8 godzin</a:t>
            </a:r>
            <a:endParaRPr lang="pl-PL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'R@R_data base'!$C$47</c:f>
              <c:strCache>
                <c:ptCount val="1"/>
                <c:pt idx="0">
                  <c:v>szacowana</c:v>
                </c:pt>
              </c:strCache>
            </c:strRef>
          </c:tx>
          <c:spPr>
            <a:ln w="22225" cap="rnd">
              <a:solidFill>
                <a:srgbClr val="00B050"/>
              </a:solidFill>
              <a:prstDash val="sysDash"/>
            </a:ln>
            <a:effectLst/>
          </c:spPr>
          <c:marker>
            <c:symbol val="none"/>
          </c:marker>
          <c:dLbls>
            <c:dLbl>
              <c:idx val="23"/>
              <c:layout>
                <c:manualLayout>
                  <c:x val="-1.8978960476633742E-2"/>
                  <c:y val="-9.23867303472311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F46-4D41-B7EF-9480840F4B54}"/>
                </c:ext>
              </c:extLst>
            </c:dLbl>
            <c:dLbl>
              <c:idx val="47"/>
              <c:layout>
                <c:manualLayout>
                  <c:x val="-1.038961038961039E-2"/>
                  <c:y val="-3.562340966921119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F46-4D41-B7EF-9480840F4B5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'R@R_data base'!$C$48:$C$95</c:f>
              <c:numCache>
                <c:formatCode>0</c:formatCode>
                <c:ptCount val="48"/>
                <c:pt idx="0">
                  <c:v>2.0833333333333335</c:v>
                </c:pt>
                <c:pt idx="1">
                  <c:v>4.166666666666667</c:v>
                </c:pt>
                <c:pt idx="2">
                  <c:v>6.25</c:v>
                </c:pt>
                <c:pt idx="3">
                  <c:v>8.3333333333333339</c:v>
                </c:pt>
                <c:pt idx="4">
                  <c:v>10.416666666666666</c:v>
                </c:pt>
                <c:pt idx="5">
                  <c:v>12.5</c:v>
                </c:pt>
                <c:pt idx="6">
                  <c:v>14.583333333333334</c:v>
                </c:pt>
                <c:pt idx="7">
                  <c:v>16.666666666666668</c:v>
                </c:pt>
                <c:pt idx="8">
                  <c:v>18.75</c:v>
                </c:pt>
                <c:pt idx="9">
                  <c:v>20.833333333333332</c:v>
                </c:pt>
                <c:pt idx="10">
                  <c:v>22.916666666666668</c:v>
                </c:pt>
                <c:pt idx="11">
                  <c:v>25</c:v>
                </c:pt>
                <c:pt idx="12">
                  <c:v>27.083333333333332</c:v>
                </c:pt>
                <c:pt idx="13">
                  <c:v>29.166666666666668</c:v>
                </c:pt>
                <c:pt idx="14">
                  <c:v>31.25</c:v>
                </c:pt>
                <c:pt idx="15">
                  <c:v>33.333333333333336</c:v>
                </c:pt>
                <c:pt idx="16">
                  <c:v>35.416666666666664</c:v>
                </c:pt>
                <c:pt idx="17">
                  <c:v>37.5</c:v>
                </c:pt>
                <c:pt idx="18">
                  <c:v>39.583333333333336</c:v>
                </c:pt>
                <c:pt idx="19">
                  <c:v>41.666666666666664</c:v>
                </c:pt>
                <c:pt idx="20">
                  <c:v>43.75</c:v>
                </c:pt>
                <c:pt idx="21">
                  <c:v>45.833333333333336</c:v>
                </c:pt>
                <c:pt idx="22">
                  <c:v>47.916666666666664</c:v>
                </c:pt>
                <c:pt idx="23">
                  <c:v>50</c:v>
                </c:pt>
                <c:pt idx="24">
                  <c:v>52.083333333333336</c:v>
                </c:pt>
                <c:pt idx="25">
                  <c:v>54.166666666666664</c:v>
                </c:pt>
                <c:pt idx="26">
                  <c:v>56.25</c:v>
                </c:pt>
                <c:pt idx="27">
                  <c:v>58.333333333333336</c:v>
                </c:pt>
                <c:pt idx="28">
                  <c:v>60.416666666666664</c:v>
                </c:pt>
                <c:pt idx="29">
                  <c:v>62.5</c:v>
                </c:pt>
                <c:pt idx="30">
                  <c:v>64.583333333333329</c:v>
                </c:pt>
                <c:pt idx="31">
                  <c:v>66.666666666666671</c:v>
                </c:pt>
                <c:pt idx="32">
                  <c:v>68.75</c:v>
                </c:pt>
                <c:pt idx="33">
                  <c:v>70.833333333333329</c:v>
                </c:pt>
                <c:pt idx="34">
                  <c:v>72.916666666666671</c:v>
                </c:pt>
                <c:pt idx="35">
                  <c:v>75</c:v>
                </c:pt>
                <c:pt idx="36">
                  <c:v>77.083333333333329</c:v>
                </c:pt>
                <c:pt idx="37">
                  <c:v>79.166666666666671</c:v>
                </c:pt>
                <c:pt idx="38">
                  <c:v>81.25</c:v>
                </c:pt>
                <c:pt idx="39">
                  <c:v>83.333333333333329</c:v>
                </c:pt>
                <c:pt idx="40">
                  <c:v>85.416666666666671</c:v>
                </c:pt>
                <c:pt idx="41">
                  <c:v>87.5</c:v>
                </c:pt>
                <c:pt idx="42">
                  <c:v>89.583333333333329</c:v>
                </c:pt>
                <c:pt idx="43">
                  <c:v>91.666666666666671</c:v>
                </c:pt>
                <c:pt idx="44">
                  <c:v>93.75</c:v>
                </c:pt>
                <c:pt idx="45">
                  <c:v>95.833333333333329</c:v>
                </c:pt>
                <c:pt idx="46">
                  <c:v>97.916666666666671</c:v>
                </c:pt>
                <c:pt idx="47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F46-4D41-B7EF-9480840F4B54}"/>
            </c:ext>
          </c:extLst>
        </c:ser>
        <c:ser>
          <c:idx val="1"/>
          <c:order val="1"/>
          <c:tx>
            <c:strRef>
              <c:f>'R@R_data base'!$D$47</c:f>
              <c:strCache>
                <c:ptCount val="1"/>
                <c:pt idx="0">
                  <c:v>osiągnięta</c:v>
                </c:pt>
              </c:strCache>
            </c:strRef>
          </c:tx>
          <c:spPr>
            <a:ln w="22225" cap="rnd">
              <a:solidFill>
                <a:srgbClr val="FF00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val>
            <c:numRef>
              <c:f>'R@R_data base'!$D$48:$D$71</c:f>
              <c:numCache>
                <c:formatCode>General</c:formatCode>
                <c:ptCount val="2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F46-4D41-B7EF-9480840F4B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1683151"/>
        <c:axId val="1559501071"/>
      </c:lineChart>
      <c:catAx>
        <c:axId val="1541683151"/>
        <c:scaling>
          <c:orientation val="minMax"/>
        </c:scaling>
        <c:delete val="1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low"/>
        <c:crossAx val="1559501071"/>
        <c:crosses val="autoZero"/>
        <c:auto val="1"/>
        <c:lblAlgn val="ctr"/>
        <c:lblOffset val="100"/>
        <c:tickLblSkip val="25"/>
        <c:tickMarkSkip val="10"/>
        <c:noMultiLvlLbl val="0"/>
      </c:catAx>
      <c:valAx>
        <c:axId val="1559501071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416831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9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dk1">
                <a:lumMod val="65000"/>
                <a:lumOff val="35000"/>
              </a:schemeClr>
            </a:gs>
            <a:gs pos="100000">
              <a:schemeClr val="dk1">
                <a:lumMod val="75000"/>
                <a:lumOff val="25000"/>
              </a:schemeClr>
            </a:gs>
          </a:gsLst>
          <a:lin ang="10800000" scaled="0"/>
        </a:gradFill>
        <a:round/>
      </a:ln>
      <a:effectLst/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9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dk1">
                <a:lumMod val="65000"/>
                <a:lumOff val="35000"/>
              </a:schemeClr>
            </a:gs>
            <a:gs pos="100000">
              <a:schemeClr val="dk1">
                <a:lumMod val="75000"/>
                <a:lumOff val="25000"/>
              </a:schemeClr>
            </a:gs>
          </a:gsLst>
          <a:lin ang="10800000" scaled="0"/>
        </a:gradFill>
        <a:round/>
      </a:ln>
      <a:effectLst/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39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0">
              <a:schemeClr val="dk1">
                <a:lumMod val="65000"/>
                <a:lumOff val="35000"/>
              </a:schemeClr>
            </a:gs>
            <a:gs pos="100000">
              <a:schemeClr val="dk1">
                <a:lumMod val="75000"/>
                <a:lumOff val="25000"/>
              </a:schemeClr>
            </a:gs>
          </a:gsLst>
          <a:lin ang="10800000" scaled="0"/>
        </a:gradFill>
        <a:round/>
      </a:ln>
      <a:effectLst/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25400</xdr:colOff>
      <xdr:row>27</xdr:row>
      <xdr:rowOff>31750</xdr:rowOff>
    </xdr:from>
    <xdr:to>
      <xdr:col>9</xdr:col>
      <xdr:colOff>635000</xdr:colOff>
      <xdr:row>43</xdr:row>
      <xdr:rowOff>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12700</xdr:colOff>
      <xdr:row>12</xdr:row>
      <xdr:rowOff>196850</xdr:rowOff>
    </xdr:from>
    <xdr:to>
      <xdr:col>9</xdr:col>
      <xdr:colOff>622300</xdr:colOff>
      <xdr:row>26</xdr:row>
      <xdr:rowOff>95250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177800</xdr:colOff>
      <xdr:row>27</xdr:row>
      <xdr:rowOff>38099</xdr:rowOff>
    </xdr:from>
    <xdr:to>
      <xdr:col>15</xdr:col>
      <xdr:colOff>787400</xdr:colOff>
      <xdr:row>42</xdr:row>
      <xdr:rowOff>172908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171450</xdr:colOff>
      <xdr:row>47</xdr:row>
      <xdr:rowOff>15875</xdr:rowOff>
    </xdr:from>
    <xdr:to>
      <xdr:col>15</xdr:col>
      <xdr:colOff>762000</xdr:colOff>
      <xdr:row>71</xdr:row>
      <xdr:rowOff>3175</xdr:rowOff>
    </xdr:to>
    <xdr:graphicFrame macro="">
      <xdr:nvGraphicFramePr>
        <xdr:cNvPr id="7" name="Wykres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0</xdr:colOff>
      <xdr:row>70</xdr:row>
      <xdr:rowOff>203200</xdr:rowOff>
    </xdr:from>
    <xdr:to>
      <xdr:col>15</xdr:col>
      <xdr:colOff>762000</xdr:colOff>
      <xdr:row>94</xdr:row>
      <xdr:rowOff>203200</xdr:rowOff>
    </xdr:to>
    <xdr:graphicFrame macro="">
      <xdr:nvGraphicFramePr>
        <xdr:cNvPr id="8" name="Wykres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1059180</xdr:colOff>
      <xdr:row>3</xdr:row>
      <xdr:rowOff>7620</xdr:rowOff>
    </xdr:from>
    <xdr:to>
      <xdr:col>12</xdr:col>
      <xdr:colOff>335280</xdr:colOff>
      <xdr:row>5</xdr:row>
      <xdr:rowOff>213360</xdr:rowOff>
    </xdr:to>
    <xdr:sp macro="[0]!addops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>
          <a:off x="7688580" y="502920"/>
          <a:ext cx="1028700" cy="485140"/>
        </a:xfrm>
        <a:prstGeom prst="bevel">
          <a:avLst>
            <a:gd name="adj" fmla="val 12500"/>
          </a:avLst>
        </a:prstGeom>
        <a:solidFill>
          <a:schemeClr val="accent1">
            <a:lumMod val="60000"/>
            <a:lumOff val="40000"/>
          </a:schemeClr>
        </a:solidFill>
        <a:ln w="25400">
          <a:solidFill>
            <a:schemeClr val="accent1">
              <a:lumMod val="40000"/>
              <a:lumOff val="60000"/>
            </a:schemeClr>
          </a:solidFill>
          <a:miter lim="800000"/>
          <a:headEnd/>
          <a:tailEnd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txBody>
        <a:bodyPr vertOverflow="clip" wrap="square" lIns="45720" tIns="32004" rIns="45720" bIns="0" anchor="ctr" anchorCtr="1" upright="1"/>
        <a:lstStyle/>
        <a:p>
          <a:pPr algn="ctr" rtl="0">
            <a:defRPr sz="1000"/>
          </a:pPr>
          <a:r>
            <a:rPr lang="en-US" sz="1200" b="1" i="0" u="none" strike="noStrike" baseline="0">
              <a:solidFill>
                <a:srgbClr val="000080"/>
              </a:solidFill>
              <a:latin typeface="+mn-lt"/>
              <a:ea typeface="Tahoma"/>
              <a:cs typeface="Tahoma"/>
            </a:rPr>
            <a:t>Add more collumns </a:t>
          </a:r>
        </a:p>
        <a:p>
          <a:pPr algn="ctr" rtl="0">
            <a:defRPr sz="1000"/>
          </a:pPr>
          <a:r>
            <a:rPr lang="en-US" sz="1100" b="1" i="1" u="none" strike="noStrike" baseline="0">
              <a:solidFill>
                <a:srgbClr val="000080"/>
              </a:solidFill>
              <a:latin typeface="+mn-lt"/>
              <a:ea typeface="Tahoma"/>
              <a:cs typeface="Tahoma"/>
            </a:rPr>
            <a:t>[in case of more process steps]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55CEF-3A13-D842-999A-9E86FF380E4E}">
  <dimension ref="A1:AE96"/>
  <sheetViews>
    <sheetView showGridLines="0" tabSelected="1" view="pageBreakPreview" zoomScale="75" zoomScaleNormal="100" workbookViewId="0">
      <selection activeCell="X67" sqref="X67"/>
    </sheetView>
  </sheetViews>
  <sheetFormatPr baseColWidth="10" defaultRowHeight="16" outlineLevelRow="1"/>
  <cols>
    <col min="1" max="1" width="8.6640625" style="1" bestFit="1" customWidth="1"/>
    <col min="2" max="2" width="20.6640625" style="1" bestFit="1" customWidth="1"/>
    <col min="3" max="3" width="17.33203125" style="1" bestFit="1" customWidth="1"/>
    <col min="4" max="4" width="21.6640625" style="1" customWidth="1"/>
    <col min="5" max="5" width="2.33203125" style="1" customWidth="1"/>
    <col min="6" max="6" width="13.1640625" style="1" bestFit="1" customWidth="1"/>
    <col min="7" max="7" width="17.1640625" style="1" bestFit="1" customWidth="1"/>
    <col min="8" max="16" width="10.83203125" style="1"/>
    <col min="17" max="18" width="1.5" style="1" customWidth="1"/>
    <col min="19" max="16384" width="10.83203125" style="1"/>
  </cols>
  <sheetData>
    <row r="1" spans="1:18">
      <c r="A1" s="22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4"/>
      <c r="R1" s="23"/>
    </row>
    <row r="2" spans="1:18">
      <c r="A2" s="22"/>
      <c r="B2" s="150" t="s">
        <v>43</v>
      </c>
      <c r="C2" s="150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24"/>
      <c r="R2" s="23"/>
    </row>
    <row r="3" spans="1:18" ht="8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/>
      <c r="R3" s="23"/>
    </row>
    <row r="4" spans="1:18">
      <c r="A4" s="22"/>
      <c r="B4" s="150" t="s">
        <v>1</v>
      </c>
      <c r="C4" s="150"/>
      <c r="D4" s="129"/>
      <c r="E4" s="23"/>
      <c r="F4" s="34" t="s">
        <v>45</v>
      </c>
      <c r="G4" s="163">
        <f ca="1">TODAY()</f>
        <v>43846</v>
      </c>
      <c r="H4" s="164"/>
      <c r="I4" s="6" t="s">
        <v>23</v>
      </c>
      <c r="J4" s="160"/>
      <c r="K4" s="160"/>
      <c r="L4" s="160"/>
      <c r="M4" s="116" t="s">
        <v>24</v>
      </c>
      <c r="N4" s="160"/>
      <c r="O4" s="160"/>
      <c r="P4" s="160"/>
      <c r="Q4" s="24"/>
      <c r="R4" s="23"/>
    </row>
    <row r="5" spans="1:18">
      <c r="A5" s="22"/>
      <c r="B5" s="150" t="s">
        <v>0</v>
      </c>
      <c r="C5" s="150"/>
      <c r="D5" s="129"/>
      <c r="E5" s="23"/>
      <c r="F5" s="6" t="s">
        <v>46</v>
      </c>
      <c r="G5" s="162"/>
      <c r="H5" s="162"/>
      <c r="I5" s="6" t="s">
        <v>35</v>
      </c>
      <c r="J5" s="160"/>
      <c r="K5" s="160"/>
      <c r="L5" s="160"/>
      <c r="M5" s="116" t="s">
        <v>25</v>
      </c>
      <c r="N5" s="160"/>
      <c r="O5" s="160"/>
      <c r="P5" s="160"/>
      <c r="Q5" s="24"/>
      <c r="R5" s="23"/>
    </row>
    <row r="6" spans="1:18">
      <c r="A6" s="22">
        <v>0</v>
      </c>
      <c r="B6" s="150" t="s">
        <v>59</v>
      </c>
      <c r="C6" s="150"/>
      <c r="D6" s="130">
        <v>256000</v>
      </c>
      <c r="E6" s="23"/>
      <c r="F6" s="6" t="s">
        <v>47</v>
      </c>
      <c r="G6" s="241"/>
      <c r="H6" s="241"/>
      <c r="I6" s="6" t="s">
        <v>44</v>
      </c>
      <c r="J6" s="160"/>
      <c r="K6" s="160"/>
      <c r="L6" s="160"/>
      <c r="M6" s="116" t="s">
        <v>26</v>
      </c>
      <c r="N6" s="160"/>
      <c r="O6" s="160"/>
      <c r="P6" s="160"/>
      <c r="Q6" s="24"/>
      <c r="R6" s="23"/>
    </row>
    <row r="7" spans="1:18" ht="8" customHeight="1">
      <c r="A7" s="22"/>
      <c r="B7" s="25"/>
      <c r="C7" s="25"/>
      <c r="D7" s="26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4"/>
      <c r="R7" s="23"/>
    </row>
    <row r="8" spans="1:18">
      <c r="A8" s="22"/>
      <c r="B8" s="150" t="s">
        <v>2</v>
      </c>
      <c r="C8" s="150"/>
      <c r="D8" s="131"/>
      <c r="E8" s="23"/>
      <c r="F8" s="119" t="s">
        <v>116</v>
      </c>
      <c r="G8" s="162">
        <f>(D10*15)/100</f>
        <v>15</v>
      </c>
      <c r="H8" s="162"/>
      <c r="I8" s="6" t="s">
        <v>27</v>
      </c>
      <c r="J8" s="160"/>
      <c r="K8" s="160"/>
      <c r="L8" s="160"/>
      <c r="M8" s="6" t="s">
        <v>30</v>
      </c>
      <c r="N8" s="160"/>
      <c r="O8" s="160"/>
      <c r="P8" s="160"/>
      <c r="Q8" s="24"/>
      <c r="R8" s="23"/>
    </row>
    <row r="9" spans="1:18">
      <c r="A9" s="22"/>
      <c r="B9" s="150" t="s">
        <v>3</v>
      </c>
      <c r="C9" s="150"/>
      <c r="D9" s="131"/>
      <c r="E9" s="23"/>
      <c r="F9" s="118">
        <v>1.1499999999999999</v>
      </c>
      <c r="G9" s="162">
        <f>D10+G8</f>
        <v>115</v>
      </c>
      <c r="H9" s="162"/>
      <c r="I9" s="6" t="s">
        <v>29</v>
      </c>
      <c r="J9" s="160"/>
      <c r="K9" s="160"/>
      <c r="L9" s="160"/>
      <c r="M9" s="6" t="s">
        <v>31</v>
      </c>
      <c r="N9" s="160"/>
      <c r="O9" s="160"/>
      <c r="P9" s="160"/>
      <c r="Q9" s="24"/>
      <c r="R9" s="23"/>
    </row>
    <row r="10" spans="1:18">
      <c r="A10" s="22"/>
      <c r="B10" s="161" t="s">
        <v>60</v>
      </c>
      <c r="C10" s="161"/>
      <c r="D10" s="132">
        <v>100</v>
      </c>
      <c r="E10" s="23"/>
      <c r="F10" s="119" t="s">
        <v>117</v>
      </c>
      <c r="G10" s="162">
        <f>(D16-G9)</f>
        <v>-110</v>
      </c>
      <c r="H10" s="162"/>
      <c r="I10" s="6" t="s">
        <v>28</v>
      </c>
      <c r="J10" s="160"/>
      <c r="K10" s="160"/>
      <c r="L10" s="160"/>
      <c r="M10" s="6" t="s">
        <v>32</v>
      </c>
      <c r="N10" s="160"/>
      <c r="O10" s="160"/>
      <c r="P10" s="160"/>
      <c r="Q10" s="24"/>
      <c r="R10" s="23"/>
    </row>
    <row r="11" spans="1:18">
      <c r="A11" s="22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4"/>
      <c r="R11" s="23"/>
    </row>
    <row r="12" spans="1:18">
      <c r="A12" s="22"/>
      <c r="B12" s="167" t="s">
        <v>4</v>
      </c>
      <c r="C12" s="167"/>
      <c r="D12" s="167"/>
      <c r="E12" s="167"/>
      <c r="F12" s="167"/>
      <c r="G12" s="167"/>
      <c r="H12" s="167"/>
      <c r="I12" s="167"/>
      <c r="J12" s="167"/>
      <c r="K12" s="167"/>
      <c r="L12" s="167"/>
      <c r="M12" s="167"/>
      <c r="N12" s="167"/>
      <c r="O12" s="167"/>
      <c r="P12" s="167"/>
      <c r="Q12" s="24"/>
      <c r="R12" s="23"/>
    </row>
    <row r="13" spans="1:18">
      <c r="A13" s="22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4"/>
      <c r="R13" s="23"/>
    </row>
    <row r="14" spans="1:18">
      <c r="A14" s="32">
        <v>1</v>
      </c>
      <c r="B14" s="151" t="s">
        <v>5</v>
      </c>
      <c r="C14" s="151"/>
      <c r="D14" s="133">
        <v>1</v>
      </c>
      <c r="E14" s="23"/>
      <c r="F14" s="23"/>
      <c r="G14" s="23"/>
      <c r="H14" s="23"/>
      <c r="I14" s="23"/>
      <c r="J14" s="23"/>
      <c r="K14" s="167" t="s">
        <v>33</v>
      </c>
      <c r="L14" s="167"/>
      <c r="M14" s="167"/>
      <c r="N14" s="167"/>
      <c r="O14" s="167"/>
      <c r="P14" s="167"/>
      <c r="Q14" s="24"/>
      <c r="R14" s="23"/>
    </row>
    <row r="15" spans="1:18">
      <c r="A15" s="32">
        <v>2</v>
      </c>
      <c r="B15" s="152" t="s">
        <v>9</v>
      </c>
      <c r="C15" s="152"/>
      <c r="D15" s="134">
        <v>100</v>
      </c>
      <c r="E15" s="23"/>
      <c r="F15" s="23"/>
      <c r="G15" s="23"/>
      <c r="H15" s="23"/>
      <c r="I15" s="23"/>
      <c r="J15" s="23"/>
      <c r="K15" s="234" t="s">
        <v>120</v>
      </c>
      <c r="L15" s="168"/>
      <c r="M15" s="168"/>
      <c r="N15" s="168"/>
      <c r="O15" s="168"/>
      <c r="P15" s="168"/>
      <c r="Q15" s="24"/>
      <c r="R15" s="23"/>
    </row>
    <row r="16" spans="1:18">
      <c r="A16" s="32">
        <v>3</v>
      </c>
      <c r="B16" s="152" t="s">
        <v>10</v>
      </c>
      <c r="C16" s="152"/>
      <c r="D16" s="134">
        <v>5</v>
      </c>
      <c r="E16" s="23"/>
      <c r="F16" s="23"/>
      <c r="G16" s="23"/>
      <c r="H16" s="23"/>
      <c r="I16" s="23"/>
      <c r="J16" s="23"/>
      <c r="K16" s="168"/>
      <c r="L16" s="168"/>
      <c r="M16" s="168"/>
      <c r="N16" s="168"/>
      <c r="O16" s="168"/>
      <c r="P16" s="168"/>
      <c r="Q16" s="24"/>
      <c r="R16" s="23"/>
    </row>
    <row r="17" spans="1:18">
      <c r="A17" s="32">
        <v>480</v>
      </c>
      <c r="B17" s="152" t="s">
        <v>11</v>
      </c>
      <c r="C17" s="152"/>
      <c r="D17" s="148">
        <f>D15-D16</f>
        <v>95</v>
      </c>
      <c r="E17" s="23"/>
      <c r="F17" s="23"/>
      <c r="G17" s="23"/>
      <c r="H17" s="23"/>
      <c r="I17" s="23"/>
      <c r="J17" s="23"/>
      <c r="K17" s="168"/>
      <c r="L17" s="168"/>
      <c r="M17" s="168"/>
      <c r="N17" s="168"/>
      <c r="O17" s="168"/>
      <c r="P17" s="168"/>
      <c r="Q17" s="24"/>
      <c r="R17" s="23"/>
    </row>
    <row r="18" spans="1:18">
      <c r="A18" s="32">
        <f>2*A17</f>
        <v>960</v>
      </c>
      <c r="B18" s="152" t="s">
        <v>18</v>
      </c>
      <c r="C18" s="152"/>
      <c r="D18" s="149">
        <f>100%</f>
        <v>1</v>
      </c>
      <c r="E18" s="23"/>
      <c r="F18" s="23"/>
      <c r="G18" s="23"/>
      <c r="H18" s="23"/>
      <c r="I18" s="23"/>
      <c r="J18" s="23"/>
      <c r="K18" s="168"/>
      <c r="L18" s="168"/>
      <c r="M18" s="168"/>
      <c r="N18" s="168"/>
      <c r="O18" s="168"/>
      <c r="P18" s="168"/>
      <c r="Q18" s="24"/>
      <c r="R18" s="23"/>
    </row>
    <row r="19" spans="1:18">
      <c r="A19" s="32">
        <f>3*A17</f>
        <v>1440</v>
      </c>
      <c r="B19" s="152" t="s">
        <v>19</v>
      </c>
      <c r="C19" s="152"/>
      <c r="D19" s="149">
        <f>(D16*100%)/D15</f>
        <v>0.05</v>
      </c>
      <c r="E19" s="23"/>
      <c r="F19" s="23"/>
      <c r="G19" s="23"/>
      <c r="H19" s="23"/>
      <c r="I19" s="23"/>
      <c r="J19" s="23"/>
      <c r="K19" s="168"/>
      <c r="L19" s="168"/>
      <c r="M19" s="168"/>
      <c r="N19" s="168"/>
      <c r="O19" s="168"/>
      <c r="P19" s="168"/>
      <c r="Q19" s="24"/>
      <c r="R19" s="23"/>
    </row>
    <row r="20" spans="1:18">
      <c r="A20" s="33" t="s">
        <v>39</v>
      </c>
      <c r="B20" s="152" t="s">
        <v>20</v>
      </c>
      <c r="C20" s="152"/>
      <c r="D20" s="149">
        <f>(D17*100%)/D15</f>
        <v>0.95</v>
      </c>
      <c r="E20" s="23"/>
      <c r="F20" s="23"/>
      <c r="G20" s="23"/>
      <c r="H20" s="23"/>
      <c r="I20" s="23"/>
      <c r="J20" s="23"/>
      <c r="K20" s="168"/>
      <c r="L20" s="168"/>
      <c r="M20" s="168"/>
      <c r="N20" s="168"/>
      <c r="O20" s="168"/>
      <c r="P20" s="168"/>
      <c r="Q20" s="24"/>
      <c r="R20" s="23"/>
    </row>
    <row r="21" spans="1:18">
      <c r="A21" s="33" t="s">
        <v>40</v>
      </c>
      <c r="B21" s="151" t="s">
        <v>6</v>
      </c>
      <c r="C21" s="151"/>
      <c r="D21" s="135"/>
      <c r="E21" s="23"/>
      <c r="F21" s="23"/>
      <c r="G21" s="23"/>
      <c r="H21" s="23"/>
      <c r="I21" s="23"/>
      <c r="J21" s="23"/>
      <c r="K21" s="168"/>
      <c r="L21" s="168"/>
      <c r="M21" s="168"/>
      <c r="N21" s="168"/>
      <c r="O21" s="168"/>
      <c r="P21" s="168"/>
      <c r="Q21" s="24"/>
      <c r="R21" s="23"/>
    </row>
    <row r="22" spans="1:18">
      <c r="A22" s="33" t="s">
        <v>41</v>
      </c>
      <c r="B22" s="151" t="s">
        <v>7</v>
      </c>
      <c r="C22" s="151"/>
      <c r="D22" s="135"/>
      <c r="E22" s="23"/>
      <c r="F22" s="23"/>
      <c r="G22" s="23"/>
      <c r="H22" s="23"/>
      <c r="I22" s="23"/>
      <c r="J22" s="23"/>
      <c r="K22" s="168"/>
      <c r="L22" s="168"/>
      <c r="M22" s="168"/>
      <c r="N22" s="168"/>
      <c r="O22" s="168"/>
      <c r="P22" s="168"/>
      <c r="Q22" s="24"/>
      <c r="R22" s="23"/>
    </row>
    <row r="23" spans="1:18">
      <c r="A23" s="22"/>
      <c r="B23" s="151" t="s">
        <v>8</v>
      </c>
      <c r="C23" s="151"/>
      <c r="D23" s="135"/>
      <c r="E23" s="23"/>
      <c r="F23" s="23"/>
      <c r="G23" s="23"/>
      <c r="H23" s="23"/>
      <c r="I23" s="23"/>
      <c r="J23" s="23"/>
      <c r="K23" s="168"/>
      <c r="L23" s="168"/>
      <c r="M23" s="168"/>
      <c r="N23" s="168"/>
      <c r="O23" s="168"/>
      <c r="P23" s="168"/>
      <c r="Q23" s="24"/>
      <c r="R23" s="23"/>
    </row>
    <row r="24" spans="1:18">
      <c r="A24" s="22"/>
      <c r="B24" s="23"/>
      <c r="C24" s="23"/>
      <c r="D24" s="23"/>
      <c r="E24" s="23"/>
      <c r="F24" s="23"/>
      <c r="G24" s="23"/>
      <c r="H24" s="23"/>
      <c r="I24" s="23"/>
      <c r="J24" s="23"/>
      <c r="K24" s="169" t="s">
        <v>36</v>
      </c>
      <c r="L24" s="169"/>
      <c r="M24" s="169"/>
      <c r="N24" s="231" t="s">
        <v>42</v>
      </c>
      <c r="O24" s="232"/>
      <c r="P24" s="233"/>
      <c r="Q24" s="24"/>
      <c r="R24" s="23"/>
    </row>
    <row r="25" spans="1:18">
      <c r="A25" s="22"/>
      <c r="B25" s="23"/>
      <c r="C25" s="23"/>
      <c r="D25" s="23"/>
      <c r="E25" s="23"/>
      <c r="F25" s="23"/>
      <c r="G25" s="23"/>
      <c r="H25" s="23"/>
      <c r="I25" s="23"/>
      <c r="J25" s="23"/>
      <c r="K25" s="31" t="s">
        <v>37</v>
      </c>
      <c r="L25" s="140" t="s">
        <v>40</v>
      </c>
      <c r="M25" s="140" t="s">
        <v>118</v>
      </c>
      <c r="N25" s="235" t="s">
        <v>40</v>
      </c>
      <c r="O25" s="236"/>
      <c r="P25" s="237"/>
      <c r="Q25" s="24"/>
      <c r="R25" s="23"/>
    </row>
    <row r="26" spans="1:18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31" t="s">
        <v>38</v>
      </c>
      <c r="L26" s="140" t="s">
        <v>40</v>
      </c>
      <c r="M26" s="140" t="s">
        <v>118</v>
      </c>
      <c r="N26" s="238"/>
      <c r="O26" s="239"/>
      <c r="P26" s="240"/>
      <c r="Q26" s="24"/>
      <c r="R26" s="23"/>
    </row>
    <row r="27" spans="1:18">
      <c r="A27" s="22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4"/>
      <c r="R27" s="23"/>
    </row>
    <row r="28" spans="1:18">
      <c r="A28" s="22"/>
      <c r="B28" s="154" t="s">
        <v>15</v>
      </c>
      <c r="C28" s="155"/>
      <c r="D28" s="14">
        <v>480</v>
      </c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4"/>
      <c r="R28" s="23"/>
    </row>
    <row r="29" spans="1:18">
      <c r="A29" s="22"/>
      <c r="B29" s="156" t="s">
        <v>16</v>
      </c>
      <c r="C29" s="157"/>
      <c r="D29" s="158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4"/>
      <c r="R29" s="23"/>
    </row>
    <row r="30" spans="1:18">
      <c r="A30" s="22"/>
      <c r="B30" s="2" t="s">
        <v>12</v>
      </c>
      <c r="C30" s="2" t="s">
        <v>13</v>
      </c>
      <c r="D30" s="2" t="s">
        <v>14</v>
      </c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4"/>
      <c r="R30" s="23"/>
    </row>
    <row r="31" spans="1:18">
      <c r="A31" s="121" t="s">
        <v>121</v>
      </c>
      <c r="B31" s="134">
        <v>3</v>
      </c>
      <c r="C31" s="134">
        <v>2</v>
      </c>
      <c r="D31" s="134">
        <v>7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4"/>
      <c r="R31" s="23"/>
    </row>
    <row r="32" spans="1:18" ht="4" customHeight="1" outlineLevel="1">
      <c r="A32" s="22"/>
      <c r="B32" s="136"/>
      <c r="C32" s="136"/>
      <c r="D32" s="136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4"/>
      <c r="R32" s="24"/>
    </row>
    <row r="33" spans="1:18" outlineLevel="1">
      <c r="A33" s="242" t="s">
        <v>122</v>
      </c>
      <c r="B33" s="134">
        <v>2</v>
      </c>
      <c r="C33" s="134">
        <v>20</v>
      </c>
      <c r="D33" s="134">
        <v>2</v>
      </c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4"/>
      <c r="R33" s="24"/>
    </row>
    <row r="34" spans="1:18" outlineLevel="1">
      <c r="A34" s="243"/>
      <c r="B34" s="134">
        <v>3</v>
      </c>
      <c r="C34" s="134">
        <v>15</v>
      </c>
      <c r="D34" s="134">
        <v>2</v>
      </c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4"/>
      <c r="R34" s="24"/>
    </row>
    <row r="35" spans="1:18" outlineLevel="1">
      <c r="A35" s="243"/>
      <c r="B35" s="134">
        <v>4</v>
      </c>
      <c r="C35" s="134"/>
      <c r="D35" s="134">
        <v>1</v>
      </c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4"/>
      <c r="R35" s="24"/>
    </row>
    <row r="36" spans="1:18" outlineLevel="1">
      <c r="A36" s="243"/>
      <c r="B36" s="134"/>
      <c r="C36" s="134"/>
      <c r="D36" s="134">
        <v>5</v>
      </c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4"/>
      <c r="R36" s="24"/>
    </row>
    <row r="37" spans="1:18" outlineLevel="1">
      <c r="A37" s="243"/>
      <c r="B37" s="134"/>
      <c r="C37" s="134"/>
      <c r="D37" s="134">
        <v>1</v>
      </c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4"/>
      <c r="R37" s="24"/>
    </row>
    <row r="38" spans="1:18" outlineLevel="1">
      <c r="A38" s="243"/>
      <c r="B38" s="134"/>
      <c r="C38" s="134"/>
      <c r="D38" s="134">
        <v>1</v>
      </c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4"/>
      <c r="R38" s="24"/>
    </row>
    <row r="39" spans="1:18" outlineLevel="1">
      <c r="A39" s="243"/>
      <c r="B39" s="134"/>
      <c r="C39" s="134"/>
      <c r="D39" s="134">
        <v>3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4"/>
      <c r="R39" s="24"/>
    </row>
    <row r="40" spans="1:18" outlineLevel="1">
      <c r="A40" s="244"/>
      <c r="B40" s="134"/>
      <c r="C40" s="134"/>
      <c r="D40" s="134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4"/>
      <c r="R40" s="24"/>
    </row>
    <row r="41" spans="1:18">
      <c r="A41" s="121" t="s">
        <v>123</v>
      </c>
      <c r="B41" s="5">
        <f>SUM(B33:B40)</f>
        <v>9</v>
      </c>
      <c r="C41" s="4">
        <f>SUM(C33:C40)</f>
        <v>35</v>
      </c>
      <c r="D41" s="3">
        <f>+SUM(D33:D40)</f>
        <v>15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4"/>
      <c r="R41" s="24"/>
    </row>
    <row r="42" spans="1:18" ht="8" customHeight="1">
      <c r="A42" s="22"/>
      <c r="B42" s="13"/>
      <c r="C42" s="13"/>
      <c r="D42" s="1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4"/>
      <c r="R42" s="24"/>
    </row>
    <row r="43" spans="1:18">
      <c r="A43" s="22"/>
      <c r="B43" s="177" t="s">
        <v>17</v>
      </c>
      <c r="C43" s="177"/>
      <c r="D43" s="177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4"/>
      <c r="R43" s="24"/>
    </row>
    <row r="44" spans="1:18">
      <c r="A44" s="22"/>
      <c r="B44" s="153"/>
      <c r="C44" s="153"/>
      <c r="D44" s="13">
        <f>D28-(B41+C41+D41)</f>
        <v>421</v>
      </c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4"/>
      <c r="R44" s="24"/>
    </row>
    <row r="45" spans="1:18" ht="17" thickBot="1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4"/>
      <c r="R45" s="24"/>
    </row>
    <row r="46" spans="1:18" ht="17" thickBot="1">
      <c r="A46" s="30" t="s">
        <v>34</v>
      </c>
      <c r="B46" s="174" t="s">
        <v>124</v>
      </c>
      <c r="C46" s="175"/>
      <c r="D46" s="176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4"/>
      <c r="R46" s="24"/>
    </row>
    <row r="47" spans="1:18" ht="17" thickBot="1">
      <c r="A47" s="22"/>
      <c r="B47" s="245"/>
      <c r="C47" s="120" t="s">
        <v>21</v>
      </c>
      <c r="D47" s="18" t="s">
        <v>22</v>
      </c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4"/>
      <c r="R47" s="24"/>
    </row>
    <row r="48" spans="1:18">
      <c r="A48" s="170">
        <v>1</v>
      </c>
      <c r="B48" s="15">
        <v>10</v>
      </c>
      <c r="C48" s="20">
        <f>(10*D$10)/D$28</f>
        <v>2.0833333333333335</v>
      </c>
      <c r="D48" s="246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4"/>
      <c r="R48" s="24"/>
    </row>
    <row r="49" spans="1:31">
      <c r="A49" s="171"/>
      <c r="B49" s="16">
        <v>20</v>
      </c>
      <c r="C49" s="19">
        <f>(20*D$10)/D$28</f>
        <v>4.166666666666667</v>
      </c>
      <c r="D49" s="138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4"/>
      <c r="R49" s="24"/>
    </row>
    <row r="50" spans="1:31">
      <c r="A50" s="171"/>
      <c r="B50" s="16">
        <v>30</v>
      </c>
      <c r="C50" s="19">
        <f>(30*D$10)/D$28</f>
        <v>6.25</v>
      </c>
      <c r="D50" s="138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4"/>
      <c r="R50" s="24"/>
    </row>
    <row r="51" spans="1:31">
      <c r="A51" s="171"/>
      <c r="B51" s="16">
        <v>40</v>
      </c>
      <c r="C51" s="19">
        <f>(40*D$10)/D$28</f>
        <v>8.3333333333333339</v>
      </c>
      <c r="D51" s="138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4"/>
      <c r="R51" s="24"/>
    </row>
    <row r="52" spans="1:31">
      <c r="A52" s="171"/>
      <c r="B52" s="16">
        <v>50</v>
      </c>
      <c r="C52" s="19">
        <f>(50*D$10)/D$28</f>
        <v>10.416666666666666</v>
      </c>
      <c r="D52" s="138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4"/>
      <c r="R52" s="24"/>
    </row>
    <row r="53" spans="1:31" ht="17" thickBot="1">
      <c r="A53" s="172"/>
      <c r="B53" s="17">
        <v>60</v>
      </c>
      <c r="C53" s="21">
        <f>(60*D$10)/D$28</f>
        <v>12.5</v>
      </c>
      <c r="D53" s="139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4"/>
      <c r="R53" s="24"/>
    </row>
    <row r="54" spans="1:31">
      <c r="A54" s="165">
        <v>2</v>
      </c>
      <c r="B54" s="11">
        <v>70</v>
      </c>
      <c r="C54" s="20">
        <f>(70*D$10)/D$28</f>
        <v>14.583333333333334</v>
      </c>
      <c r="D54" s="137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4"/>
      <c r="R54" s="24"/>
    </row>
    <row r="55" spans="1:31">
      <c r="A55" s="165"/>
      <c r="B55" s="8">
        <v>80</v>
      </c>
      <c r="C55" s="19">
        <f>(80*D$10)/D$28</f>
        <v>16.666666666666668</v>
      </c>
      <c r="D55" s="138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4"/>
      <c r="R55" s="24"/>
    </row>
    <row r="56" spans="1:31">
      <c r="A56" s="165"/>
      <c r="B56" s="8">
        <v>90</v>
      </c>
      <c r="C56" s="19">
        <f>(90*D$10)/D$28</f>
        <v>18.75</v>
      </c>
      <c r="D56" s="138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4"/>
      <c r="R56" s="24"/>
    </row>
    <row r="57" spans="1:31">
      <c r="A57" s="165"/>
      <c r="B57" s="8">
        <v>100</v>
      </c>
      <c r="C57" s="19">
        <f>(100*D$10)/D$28</f>
        <v>20.833333333333332</v>
      </c>
      <c r="D57" s="138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4"/>
      <c r="R57" s="24"/>
    </row>
    <row r="58" spans="1:31">
      <c r="A58" s="165"/>
      <c r="B58" s="8">
        <v>110</v>
      </c>
      <c r="C58" s="19">
        <f>(110*D$10)/D$28</f>
        <v>22.916666666666668</v>
      </c>
      <c r="D58" s="138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4"/>
      <c r="R58" s="24"/>
    </row>
    <row r="59" spans="1:31" ht="17" thickBot="1">
      <c r="A59" s="165"/>
      <c r="B59" s="10">
        <v>120</v>
      </c>
      <c r="C59" s="21">
        <f>(120*D$10)/D$28</f>
        <v>25</v>
      </c>
      <c r="D59" s="139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4"/>
      <c r="R59" s="24"/>
    </row>
    <row r="60" spans="1:31">
      <c r="A60" s="173">
        <v>3</v>
      </c>
      <c r="B60" s="7">
        <v>130</v>
      </c>
      <c r="C60" s="20">
        <f>(130*D$10)/D$28</f>
        <v>27.083333333333332</v>
      </c>
      <c r="D60" s="137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4"/>
      <c r="R60" s="24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</row>
    <row r="61" spans="1:31">
      <c r="A61" s="165"/>
      <c r="B61" s="8">
        <v>140</v>
      </c>
      <c r="C61" s="19">
        <f>(140*D$10)/D$28</f>
        <v>29.166666666666668</v>
      </c>
      <c r="D61" s="138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4"/>
      <c r="R61" s="24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</row>
    <row r="62" spans="1:31">
      <c r="A62" s="165"/>
      <c r="B62" s="8">
        <v>150</v>
      </c>
      <c r="C62" s="19">
        <f>(150*D$10)/D$28</f>
        <v>31.25</v>
      </c>
      <c r="D62" s="138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4"/>
      <c r="R62" s="24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</row>
    <row r="63" spans="1:31">
      <c r="A63" s="165"/>
      <c r="B63" s="8">
        <v>160</v>
      </c>
      <c r="C63" s="19">
        <f>(160*D$10)/D$28</f>
        <v>33.333333333333336</v>
      </c>
      <c r="D63" s="138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4"/>
      <c r="R63" s="24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</row>
    <row r="64" spans="1:31">
      <c r="A64" s="165"/>
      <c r="B64" s="8">
        <v>170</v>
      </c>
      <c r="C64" s="19">
        <f>(170*D$10)/D$28</f>
        <v>35.416666666666664</v>
      </c>
      <c r="D64" s="138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4"/>
      <c r="R64" s="24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17" thickBot="1">
      <c r="A65" s="166"/>
      <c r="B65" s="10">
        <v>180</v>
      </c>
      <c r="C65" s="21">
        <f>(180*D$10)/D$28</f>
        <v>37.5</v>
      </c>
      <c r="D65" s="139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4"/>
      <c r="R65" s="24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>
      <c r="A66" s="165">
        <v>4</v>
      </c>
      <c r="B66" s="7">
        <v>190</v>
      </c>
      <c r="C66" s="20">
        <f>(190*D$10)/D$28</f>
        <v>39.583333333333336</v>
      </c>
      <c r="D66" s="137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4"/>
      <c r="R66" s="24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</row>
    <row r="67" spans="1:31">
      <c r="A67" s="165"/>
      <c r="B67" s="8">
        <v>200</v>
      </c>
      <c r="C67" s="19">
        <f>(200*D$10)/D$28</f>
        <v>41.666666666666664</v>
      </c>
      <c r="D67" s="138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4"/>
      <c r="R67" s="24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</row>
    <row r="68" spans="1:31">
      <c r="A68" s="165"/>
      <c r="B68" s="8">
        <v>210</v>
      </c>
      <c r="C68" s="19">
        <f>(210*D$10)/D$28</f>
        <v>43.75</v>
      </c>
      <c r="D68" s="138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4"/>
      <c r="R68" s="24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</row>
    <row r="69" spans="1:31">
      <c r="A69" s="165"/>
      <c r="B69" s="8">
        <v>220</v>
      </c>
      <c r="C69" s="19">
        <f>(220*D$10)/D$28</f>
        <v>45.833333333333336</v>
      </c>
      <c r="D69" s="138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4"/>
      <c r="R69" s="24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</row>
    <row r="70" spans="1:31">
      <c r="A70" s="165"/>
      <c r="B70" s="8">
        <v>230</v>
      </c>
      <c r="C70" s="19">
        <f>(230*D$10)/D$28</f>
        <v>47.916666666666664</v>
      </c>
      <c r="D70" s="138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4"/>
      <c r="R70" s="24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</row>
    <row r="71" spans="1:31" ht="17" thickBot="1">
      <c r="A71" s="166"/>
      <c r="B71" s="9">
        <v>240</v>
      </c>
      <c r="C71" s="21">
        <f>(240*D$10)/D$28</f>
        <v>50</v>
      </c>
      <c r="D71" s="139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4"/>
      <c r="R71" s="24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</row>
    <row r="72" spans="1:31">
      <c r="A72" s="165">
        <v>5</v>
      </c>
      <c r="B72" s="7">
        <v>250</v>
      </c>
      <c r="C72" s="20">
        <f>(250*D$10)/D$28</f>
        <v>52.083333333333336</v>
      </c>
      <c r="D72" s="137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4"/>
      <c r="R72" s="24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</row>
    <row r="73" spans="1:31">
      <c r="A73" s="165"/>
      <c r="B73" s="8">
        <v>260</v>
      </c>
      <c r="C73" s="19">
        <f>(260*D$10)/D$28</f>
        <v>54.166666666666664</v>
      </c>
      <c r="D73" s="138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4"/>
      <c r="R73" s="24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</row>
    <row r="74" spans="1:31">
      <c r="A74" s="165"/>
      <c r="B74" s="8">
        <v>270</v>
      </c>
      <c r="C74" s="19">
        <f>(270*D$10)/D$28</f>
        <v>56.25</v>
      </c>
      <c r="D74" s="138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4"/>
      <c r="R74" s="24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</row>
    <row r="75" spans="1:31">
      <c r="A75" s="165"/>
      <c r="B75" s="8">
        <v>280</v>
      </c>
      <c r="C75" s="19">
        <f>(280*D$10)/D$28</f>
        <v>58.333333333333336</v>
      </c>
      <c r="D75" s="138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4"/>
      <c r="R75" s="24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</row>
    <row r="76" spans="1:31">
      <c r="A76" s="165"/>
      <c r="B76" s="8">
        <v>290</v>
      </c>
      <c r="C76" s="19">
        <f>(290*D$10)/D$28</f>
        <v>60.416666666666664</v>
      </c>
      <c r="D76" s="138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4"/>
      <c r="R76" s="24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</row>
    <row r="77" spans="1:31" ht="17" thickBot="1">
      <c r="A77" s="166"/>
      <c r="B77" s="9">
        <v>300</v>
      </c>
      <c r="C77" s="21">
        <f>(300*D$10)/D$28</f>
        <v>62.5</v>
      </c>
      <c r="D77" s="139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4"/>
      <c r="R77" s="24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</row>
    <row r="78" spans="1:31">
      <c r="A78" s="165">
        <v>6</v>
      </c>
      <c r="B78" s="7">
        <v>310</v>
      </c>
      <c r="C78" s="20">
        <f>(310*D$10)/D$28</f>
        <v>64.583333333333329</v>
      </c>
      <c r="D78" s="137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4"/>
      <c r="R78" s="24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</row>
    <row r="79" spans="1:31">
      <c r="A79" s="165"/>
      <c r="B79" s="8">
        <v>320</v>
      </c>
      <c r="C79" s="19">
        <f>(320*D$10)/D$28</f>
        <v>66.666666666666671</v>
      </c>
      <c r="D79" s="138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4"/>
      <c r="R79" s="24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</row>
    <row r="80" spans="1:31">
      <c r="A80" s="165"/>
      <c r="B80" s="8">
        <v>330</v>
      </c>
      <c r="C80" s="19">
        <f>(330*D$10)/D$28</f>
        <v>68.75</v>
      </c>
      <c r="D80" s="138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4"/>
      <c r="R80" s="24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</row>
    <row r="81" spans="1:18">
      <c r="A81" s="165"/>
      <c r="B81" s="8">
        <v>340</v>
      </c>
      <c r="C81" s="19">
        <f>(340*D$10)/D$28</f>
        <v>70.833333333333329</v>
      </c>
      <c r="D81" s="138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4"/>
      <c r="R81" s="24"/>
    </row>
    <row r="82" spans="1:18">
      <c r="A82" s="165"/>
      <c r="B82" s="8">
        <v>350</v>
      </c>
      <c r="C82" s="19">
        <f>(350*D$10)/D$28</f>
        <v>72.916666666666671</v>
      </c>
      <c r="D82" s="138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4"/>
      <c r="R82" s="24"/>
    </row>
    <row r="83" spans="1:18" ht="17" thickBot="1">
      <c r="A83" s="166"/>
      <c r="B83" s="9">
        <v>360</v>
      </c>
      <c r="C83" s="21">
        <f>(360*D$10)/D$28</f>
        <v>75</v>
      </c>
      <c r="D83" s="139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4"/>
      <c r="R83" s="24"/>
    </row>
    <row r="84" spans="1:18">
      <c r="A84" s="165">
        <v>7</v>
      </c>
      <c r="B84" s="7">
        <v>370</v>
      </c>
      <c r="C84" s="20">
        <f>(370*D$10)/D$28</f>
        <v>77.083333333333329</v>
      </c>
      <c r="D84" s="137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4"/>
      <c r="R84" s="24"/>
    </row>
    <row r="85" spans="1:18">
      <c r="A85" s="165"/>
      <c r="B85" s="8">
        <v>380</v>
      </c>
      <c r="C85" s="19">
        <f>(380*D$10)/D$28</f>
        <v>79.166666666666671</v>
      </c>
      <c r="D85" s="138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4"/>
      <c r="R85" s="24"/>
    </row>
    <row r="86" spans="1:18">
      <c r="A86" s="165"/>
      <c r="B86" s="8">
        <v>390</v>
      </c>
      <c r="C86" s="19">
        <f>(390*D$10)/D$28</f>
        <v>81.25</v>
      </c>
      <c r="D86" s="138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4"/>
      <c r="R86" s="24"/>
    </row>
    <row r="87" spans="1:18">
      <c r="A87" s="165"/>
      <c r="B87" s="8">
        <v>400</v>
      </c>
      <c r="C87" s="19">
        <f>(400*D$10)/D$28</f>
        <v>83.333333333333329</v>
      </c>
      <c r="D87" s="138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4"/>
      <c r="R87" s="24"/>
    </row>
    <row r="88" spans="1:18">
      <c r="A88" s="165"/>
      <c r="B88" s="8">
        <v>410</v>
      </c>
      <c r="C88" s="19">
        <f>(410*D$10)/D$28</f>
        <v>85.416666666666671</v>
      </c>
      <c r="D88" s="138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4"/>
      <c r="R88" s="24"/>
    </row>
    <row r="89" spans="1:18" ht="17" thickBot="1">
      <c r="A89" s="166"/>
      <c r="B89" s="9">
        <v>420</v>
      </c>
      <c r="C89" s="21">
        <f>(420*D$10)/D$28</f>
        <v>87.5</v>
      </c>
      <c r="D89" s="139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4"/>
      <c r="R89" s="24"/>
    </row>
    <row r="90" spans="1:18">
      <c r="A90" s="165">
        <v>8</v>
      </c>
      <c r="B90" s="7">
        <v>430</v>
      </c>
      <c r="C90" s="20">
        <f>(430*D$10)/D$28</f>
        <v>89.583333333333329</v>
      </c>
      <c r="D90" s="137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4"/>
      <c r="R90" s="24"/>
    </row>
    <row r="91" spans="1:18">
      <c r="A91" s="165"/>
      <c r="B91" s="8">
        <v>440</v>
      </c>
      <c r="C91" s="19">
        <f>(440*D$10)/D$28</f>
        <v>91.666666666666671</v>
      </c>
      <c r="D91" s="138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4"/>
      <c r="R91" s="24"/>
    </row>
    <row r="92" spans="1:18">
      <c r="A92" s="165"/>
      <c r="B92" s="8">
        <v>450</v>
      </c>
      <c r="C92" s="19">
        <f>(450*D$10)/D$28</f>
        <v>93.75</v>
      </c>
      <c r="D92" s="138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4"/>
      <c r="R92" s="24"/>
    </row>
    <row r="93" spans="1:18">
      <c r="A93" s="165"/>
      <c r="B93" s="8">
        <v>460</v>
      </c>
      <c r="C93" s="19">
        <f>(460*D$10)/D$28</f>
        <v>95.833333333333329</v>
      </c>
      <c r="D93" s="138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4"/>
      <c r="R93" s="24"/>
    </row>
    <row r="94" spans="1:18">
      <c r="A94" s="165"/>
      <c r="B94" s="8">
        <v>470</v>
      </c>
      <c r="C94" s="19">
        <f>(470*D$10)/D$28</f>
        <v>97.916666666666671</v>
      </c>
      <c r="D94" s="138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4"/>
      <c r="R94" s="24"/>
    </row>
    <row r="95" spans="1:18" ht="17" thickBot="1">
      <c r="A95" s="166"/>
      <c r="B95" s="9">
        <v>480</v>
      </c>
      <c r="C95" s="21">
        <f>(480*D$10)/D$28</f>
        <v>100</v>
      </c>
      <c r="D95" s="139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4"/>
      <c r="R95" s="24"/>
    </row>
    <row r="96" spans="1:18" ht="8" customHeight="1" thickBot="1">
      <c r="A96" s="27"/>
      <c r="B96" s="28"/>
      <c r="C96" s="28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9"/>
      <c r="R96" s="29"/>
    </row>
  </sheetData>
  <sheetProtection algorithmName="SHA-512" hashValue="DZ/rn2xTA4oCENgJw6kO1Kr37+WP9qOiZoDoyWQfktsD6kmtLlRmIr/PrxIykdNbTPfR12+iDyM6dTwQ+IYCkw==" saltValue="G9IhqVG6m7/BKhOv5sihWA==" spinCount="100000" sheet="1" objects="1" scenarios="1" deleteColumns="0" deleteRows="0"/>
  <mergeCells count="56">
    <mergeCell ref="N25:P26"/>
    <mergeCell ref="A33:A40"/>
    <mergeCell ref="A78:A83"/>
    <mergeCell ref="A84:A89"/>
    <mergeCell ref="A90:A95"/>
    <mergeCell ref="K14:P14"/>
    <mergeCell ref="K15:P23"/>
    <mergeCell ref="K24:M24"/>
    <mergeCell ref="A72:A77"/>
    <mergeCell ref="A48:A53"/>
    <mergeCell ref="A54:A59"/>
    <mergeCell ref="A60:A65"/>
    <mergeCell ref="A66:A71"/>
    <mergeCell ref="B46:D46"/>
    <mergeCell ref="B43:D43"/>
    <mergeCell ref="N24:P24"/>
    <mergeCell ref="G4:H4"/>
    <mergeCell ref="G5:H5"/>
    <mergeCell ref="G6:H6"/>
    <mergeCell ref="J4:L4"/>
    <mergeCell ref="J5:L5"/>
    <mergeCell ref="J6:L6"/>
    <mergeCell ref="G8:H8"/>
    <mergeCell ref="G9:H9"/>
    <mergeCell ref="G10:H10"/>
    <mergeCell ref="J8:L8"/>
    <mergeCell ref="J9:L9"/>
    <mergeCell ref="J10:L10"/>
    <mergeCell ref="B5:C5"/>
    <mergeCell ref="B8:C8"/>
    <mergeCell ref="B9:C9"/>
    <mergeCell ref="B10:C10"/>
    <mergeCell ref="B6:C6"/>
    <mergeCell ref="N9:P9"/>
    <mergeCell ref="B15:C15"/>
    <mergeCell ref="B16:C16"/>
    <mergeCell ref="B18:C18"/>
    <mergeCell ref="B19:C19"/>
    <mergeCell ref="N10:P10"/>
    <mergeCell ref="B12:P12"/>
    <mergeCell ref="B2:C2"/>
    <mergeCell ref="B14:C14"/>
    <mergeCell ref="B17:C17"/>
    <mergeCell ref="B44:C44"/>
    <mergeCell ref="B28:C28"/>
    <mergeCell ref="B29:D29"/>
    <mergeCell ref="B20:C20"/>
    <mergeCell ref="B22:C22"/>
    <mergeCell ref="B23:C23"/>
    <mergeCell ref="B21:C21"/>
    <mergeCell ref="D2:P2"/>
    <mergeCell ref="N4:P4"/>
    <mergeCell ref="N5:P5"/>
    <mergeCell ref="N6:P6"/>
    <mergeCell ref="N8:P8"/>
    <mergeCell ref="B4:C4"/>
  </mergeCells>
  <phoneticPr fontId="9" type="noConversion"/>
  <dataValidations count="4">
    <dataValidation type="list" allowBlank="1" showInputMessage="1" showErrorMessage="1" sqref="D14" xr:uid="{CF20851E-C6D4-A647-8C5A-4066FD54B748}">
      <formula1>$A$14:$A$16</formula1>
    </dataValidation>
    <dataValidation type="list" allowBlank="1" showInputMessage="1" showErrorMessage="1" sqref="D28" xr:uid="{3482C4C8-15E8-124F-98CF-0EF3FB9658BB}">
      <formula1>$A$17:$A$19</formula1>
    </dataValidation>
    <dataValidation type="list" allowBlank="1" showInputMessage="1" showErrorMessage="1" sqref="L25:L26" xr:uid="{9EF26DD1-83F9-C047-92FC-4E60D3635BD4}">
      <formula1>$A$20:$A$22</formula1>
    </dataValidation>
    <dataValidation type="list" allowBlank="1" showInputMessage="1" showErrorMessage="1" sqref="N25" xr:uid="{1118D724-4005-0247-B8C2-BC2B44673425}">
      <formula1>$A$20:$A$21</formula1>
    </dataValidation>
  </dataValidations>
  <pageMargins left="0.7" right="0.7" top="0.75" bottom="0.75" header="0.3" footer="0.3"/>
  <pageSetup paperSize="9" scale="28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BFE13-1224-B841-94F9-F794360286BD}">
  <sheetPr codeName="Sheet7">
    <pageSetUpPr fitToPage="1"/>
  </sheetPr>
  <dimension ref="A1:J44"/>
  <sheetViews>
    <sheetView showGridLines="0" workbookViewId="0">
      <selection activeCell="C4" sqref="C4"/>
    </sheetView>
  </sheetViews>
  <sheetFormatPr baseColWidth="10" defaultColWidth="9.1640625" defaultRowHeight="13"/>
  <cols>
    <col min="1" max="1" width="8.5" style="35" customWidth="1"/>
    <col min="2" max="2" width="3.83203125" style="35" customWidth="1"/>
    <col min="3" max="3" width="52.1640625" style="35" customWidth="1"/>
    <col min="4" max="4" width="11.1640625" style="35" customWidth="1"/>
    <col min="5" max="9" width="20.6640625" style="35" customWidth="1"/>
    <col min="10" max="10" width="21.5" style="35" customWidth="1"/>
    <col min="11" max="71" width="18.6640625" style="35" customWidth="1"/>
    <col min="72" max="16384" width="9.1640625" style="35"/>
  </cols>
  <sheetData>
    <row r="1" spans="1:10" ht="18" customHeight="1">
      <c r="A1" s="204"/>
      <c r="B1" s="205"/>
      <c r="C1" s="205"/>
      <c r="D1" s="206" t="s">
        <v>107</v>
      </c>
      <c r="E1" s="207"/>
      <c r="F1" s="207"/>
      <c r="G1" s="207"/>
      <c r="H1" s="207"/>
      <c r="I1" s="78"/>
      <c r="J1" s="79"/>
    </row>
    <row r="2" spans="1:10" ht="23.25" customHeight="1" thickBot="1">
      <c r="A2" s="209"/>
      <c r="B2" s="210"/>
      <c r="C2" s="210"/>
      <c r="D2" s="208"/>
      <c r="E2" s="208"/>
      <c r="F2" s="208"/>
      <c r="G2" s="208"/>
      <c r="H2" s="208"/>
      <c r="I2" s="77"/>
      <c r="J2" s="80"/>
    </row>
    <row r="3" spans="1:10" ht="6.5" customHeight="1">
      <c r="A3" s="81"/>
      <c r="B3" s="82"/>
      <c r="C3" s="82"/>
      <c r="D3" s="82"/>
      <c r="E3" s="82"/>
      <c r="F3" s="82"/>
      <c r="G3" s="82"/>
      <c r="H3" s="82"/>
      <c r="I3" s="82"/>
      <c r="J3" s="83"/>
    </row>
    <row r="4" spans="1:10" ht="18" customHeight="1">
      <c r="A4" s="81"/>
      <c r="B4" s="60">
        <v>1</v>
      </c>
      <c r="C4" s="122" t="s">
        <v>119</v>
      </c>
      <c r="D4" s="211">
        <f>'R@R_data base'!D8</f>
        <v>0</v>
      </c>
      <c r="E4" s="211"/>
      <c r="F4" s="84">
        <v>4</v>
      </c>
      <c r="G4" s="125" t="s">
        <v>106</v>
      </c>
      <c r="H4" s="212">
        <f ca="1">'R@R_data base'!G4</f>
        <v>43846</v>
      </c>
      <c r="I4" s="213"/>
      <c r="J4" s="214"/>
    </row>
    <row r="5" spans="1:10" ht="18" customHeight="1">
      <c r="A5" s="81"/>
      <c r="B5" s="60">
        <v>2</v>
      </c>
      <c r="C5" s="122" t="s">
        <v>105</v>
      </c>
      <c r="D5" s="211">
        <f>'R@R_data base'!D9</f>
        <v>0</v>
      </c>
      <c r="E5" s="211"/>
      <c r="F5" s="84">
        <v>5</v>
      </c>
      <c r="G5" s="125" t="s">
        <v>104</v>
      </c>
      <c r="H5" s="215">
        <f>'R@R_data base'!D2</f>
        <v>0</v>
      </c>
      <c r="I5" s="216"/>
      <c r="J5" s="217"/>
    </row>
    <row r="6" spans="1:10" ht="18" customHeight="1">
      <c r="A6" s="81"/>
      <c r="B6" s="60">
        <v>3</v>
      </c>
      <c r="C6" s="123" t="s">
        <v>108</v>
      </c>
      <c r="D6" s="122" t="s">
        <v>84</v>
      </c>
      <c r="E6" s="124">
        <f>'R@R_data base'!D6</f>
        <v>256000</v>
      </c>
      <c r="F6" s="84">
        <v>6</v>
      </c>
      <c r="G6" s="125" t="s">
        <v>103</v>
      </c>
      <c r="H6" s="215">
        <f>'R@R_data base'!D2</f>
        <v>0</v>
      </c>
      <c r="I6" s="216"/>
      <c r="J6" s="217"/>
    </row>
    <row r="7" spans="1:10" ht="12" customHeight="1">
      <c r="A7" s="81"/>
      <c r="B7" s="85"/>
      <c r="C7" s="82"/>
      <c r="D7" s="82"/>
      <c r="E7" s="82"/>
      <c r="F7" s="82"/>
      <c r="G7" s="82"/>
      <c r="H7" s="82"/>
      <c r="I7" s="82"/>
      <c r="J7" s="83"/>
    </row>
    <row r="8" spans="1:10" ht="12.75" customHeight="1">
      <c r="A8" s="86"/>
      <c r="B8" s="60">
        <v>7</v>
      </c>
      <c r="C8" s="218" t="s">
        <v>89</v>
      </c>
      <c r="D8" s="219"/>
      <c r="E8" s="61" t="s">
        <v>53</v>
      </c>
      <c r="F8" s="61" t="s">
        <v>54</v>
      </c>
      <c r="G8" s="61" t="s">
        <v>55</v>
      </c>
      <c r="H8" s="61" t="s">
        <v>56</v>
      </c>
      <c r="I8" s="61" t="s">
        <v>57</v>
      </c>
      <c r="J8" s="87" t="s">
        <v>58</v>
      </c>
    </row>
    <row r="9" spans="1:10" ht="14">
      <c r="A9" s="86"/>
      <c r="B9" s="60">
        <v>8</v>
      </c>
      <c r="C9" s="220" t="s">
        <v>90</v>
      </c>
      <c r="D9" s="220"/>
      <c r="E9" s="59" t="s">
        <v>91</v>
      </c>
      <c r="F9" s="59" t="s">
        <v>91</v>
      </c>
      <c r="G9" s="59" t="s">
        <v>91</v>
      </c>
      <c r="H9" s="59"/>
      <c r="I9" s="59"/>
      <c r="J9" s="88"/>
    </row>
    <row r="10" spans="1:10">
      <c r="A10" s="89"/>
      <c r="B10" s="82"/>
      <c r="C10" s="82"/>
      <c r="D10" s="58" t="s">
        <v>91</v>
      </c>
      <c r="E10" s="57"/>
      <c r="F10" s="57"/>
      <c r="G10" s="57"/>
      <c r="H10" s="57"/>
      <c r="I10" s="57"/>
      <c r="J10" s="90"/>
    </row>
    <row r="11" spans="1:10" ht="12.75" customHeight="1">
      <c r="A11" s="201" t="s">
        <v>102</v>
      </c>
      <c r="B11" s="55">
        <v>9</v>
      </c>
      <c r="C11" s="56" t="s">
        <v>48</v>
      </c>
      <c r="D11" s="117" t="s">
        <v>79</v>
      </c>
      <c r="E11" s="51">
        <v>7</v>
      </c>
      <c r="F11" s="51">
        <v>7</v>
      </c>
      <c r="G11" s="51"/>
      <c r="H11" s="51"/>
      <c r="I11" s="51"/>
      <c r="J11" s="91"/>
    </row>
    <row r="12" spans="1:10">
      <c r="A12" s="221"/>
      <c r="B12" s="55">
        <v>10</v>
      </c>
      <c r="C12" s="56" t="s">
        <v>49</v>
      </c>
      <c r="D12" s="117" t="s">
        <v>80</v>
      </c>
      <c r="E12" s="52">
        <v>1</v>
      </c>
      <c r="F12" s="52">
        <v>2</v>
      </c>
      <c r="G12" s="52"/>
      <c r="H12" s="52"/>
      <c r="I12" s="52"/>
      <c r="J12" s="92"/>
    </row>
    <row r="13" spans="1:10">
      <c r="A13" s="221"/>
      <c r="B13" s="55">
        <v>11</v>
      </c>
      <c r="C13" s="56" t="s">
        <v>50</v>
      </c>
      <c r="D13" s="117" t="s">
        <v>81</v>
      </c>
      <c r="E13" s="52">
        <v>5</v>
      </c>
      <c r="F13" s="52">
        <v>5</v>
      </c>
      <c r="G13" s="52"/>
      <c r="H13" s="52"/>
      <c r="I13" s="52"/>
      <c r="J13" s="92"/>
    </row>
    <row r="14" spans="1:10">
      <c r="A14" s="221"/>
      <c r="B14" s="55">
        <v>12</v>
      </c>
      <c r="C14" s="56" t="s">
        <v>51</v>
      </c>
      <c r="D14" s="117" t="s">
        <v>82</v>
      </c>
      <c r="E14" s="52">
        <v>48</v>
      </c>
      <c r="F14" s="52">
        <v>48</v>
      </c>
      <c r="G14" s="52"/>
      <c r="H14" s="52"/>
      <c r="I14" s="52"/>
      <c r="J14" s="115"/>
    </row>
    <row r="15" spans="1:10" ht="14">
      <c r="A15" s="222"/>
      <c r="B15" s="62">
        <v>13</v>
      </c>
      <c r="C15" s="63" t="s">
        <v>52</v>
      </c>
      <c r="D15" s="74" t="s">
        <v>79</v>
      </c>
      <c r="E15" s="65">
        <f t="shared" ref="E15:J15" si="0">+IF(E11="","",IF(E12="","",IF(E13="","",IF(E14="","",E11*E12*E13*E14))))</f>
        <v>1680</v>
      </c>
      <c r="F15" s="65">
        <f t="shared" si="0"/>
        <v>3360</v>
      </c>
      <c r="G15" s="65" t="str">
        <f t="shared" si="0"/>
        <v/>
      </c>
      <c r="H15" s="65" t="str">
        <f t="shared" si="0"/>
        <v/>
      </c>
      <c r="I15" s="65" t="str">
        <f t="shared" si="0"/>
        <v/>
      </c>
      <c r="J15" s="93" t="str">
        <f t="shared" si="0"/>
        <v/>
      </c>
    </row>
    <row r="16" spans="1:10" ht="6" customHeight="1">
      <c r="A16" s="94"/>
      <c r="B16" s="95"/>
      <c r="C16" s="82"/>
      <c r="D16" s="96"/>
      <c r="E16" s="97"/>
      <c r="F16" s="97"/>
      <c r="G16" s="97"/>
      <c r="H16" s="97"/>
      <c r="I16" s="97"/>
      <c r="J16" s="98"/>
    </row>
    <row r="17" spans="1:10">
      <c r="A17" s="223" t="s">
        <v>101</v>
      </c>
      <c r="B17" s="55">
        <v>14</v>
      </c>
      <c r="C17" s="43" t="s">
        <v>109</v>
      </c>
      <c r="D17" s="75" t="s">
        <v>61</v>
      </c>
      <c r="E17" s="54">
        <v>1</v>
      </c>
      <c r="F17" s="54">
        <v>1</v>
      </c>
      <c r="G17" s="54"/>
      <c r="H17" s="76"/>
      <c r="I17" s="76"/>
      <c r="J17" s="99"/>
    </row>
    <row r="18" spans="1:10">
      <c r="A18" s="223"/>
      <c r="B18" s="55">
        <v>15</v>
      </c>
      <c r="C18" s="43" t="s">
        <v>62</v>
      </c>
      <c r="D18" s="117" t="s">
        <v>83</v>
      </c>
      <c r="E18" s="51">
        <v>300</v>
      </c>
      <c r="F18" s="51">
        <v>250</v>
      </c>
      <c r="G18" s="51"/>
      <c r="H18" s="51"/>
      <c r="I18" s="51"/>
      <c r="J18" s="91"/>
    </row>
    <row r="19" spans="1:10">
      <c r="A19" s="223"/>
      <c r="B19" s="55">
        <v>16</v>
      </c>
      <c r="C19" s="43" t="s">
        <v>63</v>
      </c>
      <c r="D19" s="117" t="s">
        <v>61</v>
      </c>
      <c r="E19" s="54">
        <v>0.02</v>
      </c>
      <c r="F19" s="54">
        <v>0.01</v>
      </c>
      <c r="G19" s="54"/>
      <c r="H19" s="76"/>
      <c r="I19" s="76"/>
      <c r="J19" s="99"/>
    </row>
    <row r="20" spans="1:10">
      <c r="A20" s="223"/>
      <c r="B20" s="100">
        <v>17</v>
      </c>
      <c r="C20" s="43" t="s">
        <v>64</v>
      </c>
      <c r="D20" s="117" t="s">
        <v>61</v>
      </c>
      <c r="E20" s="54">
        <v>0.99</v>
      </c>
      <c r="F20" s="54">
        <v>0.99</v>
      </c>
      <c r="G20" s="54"/>
      <c r="H20" s="76"/>
      <c r="I20" s="76"/>
      <c r="J20" s="99"/>
    </row>
    <row r="21" spans="1:10" ht="14">
      <c r="A21" s="223"/>
      <c r="B21" s="66">
        <v>18</v>
      </c>
      <c r="C21" s="64" t="s">
        <v>65</v>
      </c>
      <c r="D21" s="74" t="s">
        <v>83</v>
      </c>
      <c r="E21" s="67">
        <f t="shared" ref="E21:J21" si="1">+IF(E18="","",IF(E19="","",IF(E20="","",IF(E18="","",E18*(1-E19)*E20))))</f>
        <v>291.06</v>
      </c>
      <c r="F21" s="67">
        <f t="shared" si="1"/>
        <v>245.02500000000001</v>
      </c>
      <c r="G21" s="67" t="str">
        <f t="shared" si="1"/>
        <v/>
      </c>
      <c r="H21" s="67" t="str">
        <f t="shared" si="1"/>
        <v/>
      </c>
      <c r="I21" s="67" t="str">
        <f t="shared" si="1"/>
        <v/>
      </c>
      <c r="J21" s="101" t="str">
        <f t="shared" si="1"/>
        <v/>
      </c>
    </row>
    <row r="22" spans="1:10" ht="14">
      <c r="A22" s="223"/>
      <c r="B22" s="66">
        <v>19</v>
      </c>
      <c r="C22" s="64" t="s">
        <v>66</v>
      </c>
      <c r="D22" s="74" t="s">
        <v>84</v>
      </c>
      <c r="E22" s="67">
        <f t="shared" ref="E22:J22" si="2">+IF(E15="","",IF(E18="","",IF(E17="","",IF(E19="","",IF(E20="","",(E18*E20*(1-E19)*E15*E17))))))</f>
        <v>488980.8</v>
      </c>
      <c r="F22" s="67">
        <f t="shared" si="2"/>
        <v>823284</v>
      </c>
      <c r="G22" s="67" t="str">
        <f t="shared" si="2"/>
        <v/>
      </c>
      <c r="H22" s="67" t="str">
        <f t="shared" si="2"/>
        <v/>
      </c>
      <c r="I22" s="67" t="str">
        <f t="shared" si="2"/>
        <v/>
      </c>
      <c r="J22" s="101" t="str">
        <f t="shared" si="2"/>
        <v/>
      </c>
    </row>
    <row r="23" spans="1:10" ht="12.75" customHeight="1">
      <c r="A23" s="223"/>
      <c r="B23" s="62">
        <v>20</v>
      </c>
      <c r="C23" s="64" t="s">
        <v>67</v>
      </c>
      <c r="D23" s="74" t="s">
        <v>61</v>
      </c>
      <c r="E23" s="68">
        <f t="shared" ref="E23:J23" si="3">+IF(E15="","",IF(E22="","",$E$6/E22))</f>
        <v>0.52353793850392494</v>
      </c>
      <c r="F23" s="68">
        <f t="shared" si="3"/>
        <v>0.31094980589930082</v>
      </c>
      <c r="G23" s="68" t="str">
        <f t="shared" si="3"/>
        <v/>
      </c>
      <c r="H23" s="68" t="str">
        <f t="shared" si="3"/>
        <v/>
      </c>
      <c r="I23" s="68" t="str">
        <f t="shared" si="3"/>
        <v/>
      </c>
      <c r="J23" s="102" t="str">
        <f t="shared" si="3"/>
        <v/>
      </c>
    </row>
    <row r="24" spans="1:10" ht="12.75" customHeight="1">
      <c r="A24" s="223"/>
      <c r="B24" s="62">
        <v>21</v>
      </c>
      <c r="C24" s="64" t="s">
        <v>68</v>
      </c>
      <c r="D24" s="74" t="s">
        <v>85</v>
      </c>
      <c r="E24" s="68" t="str">
        <f t="shared" ref="E24:J24" si="4">+IF(E23=MAX($E$23:$Z$23),"X","")</f>
        <v>X</v>
      </c>
      <c r="F24" s="68" t="str">
        <f t="shared" si="4"/>
        <v/>
      </c>
      <c r="G24" s="68" t="str">
        <f t="shared" si="4"/>
        <v/>
      </c>
      <c r="H24" s="68" t="str">
        <f t="shared" si="4"/>
        <v/>
      </c>
      <c r="I24" s="68" t="str">
        <f t="shared" si="4"/>
        <v/>
      </c>
      <c r="J24" s="102" t="str">
        <f t="shared" si="4"/>
        <v/>
      </c>
    </row>
    <row r="25" spans="1:10" ht="6" customHeight="1">
      <c r="A25" s="94"/>
      <c r="B25" s="100"/>
      <c r="C25" s="82"/>
      <c r="D25" s="96"/>
      <c r="E25" s="97"/>
      <c r="F25" s="97"/>
      <c r="G25" s="97"/>
      <c r="H25" s="97"/>
      <c r="I25" s="97"/>
      <c r="J25" s="98"/>
    </row>
    <row r="26" spans="1:10">
      <c r="A26" s="201" t="s">
        <v>100</v>
      </c>
      <c r="B26" s="46">
        <v>22</v>
      </c>
      <c r="C26" s="43" t="s">
        <v>69</v>
      </c>
      <c r="D26" s="117" t="s">
        <v>86</v>
      </c>
      <c r="E26" s="53">
        <v>6</v>
      </c>
      <c r="F26" s="53">
        <v>7</v>
      </c>
      <c r="G26" s="53"/>
      <c r="H26" s="53"/>
      <c r="I26" s="53"/>
      <c r="J26" s="103"/>
    </row>
    <row r="27" spans="1:10">
      <c r="A27" s="202"/>
      <c r="B27" s="46">
        <v>23</v>
      </c>
      <c r="C27" s="43" t="s">
        <v>70</v>
      </c>
      <c r="D27" s="117" t="s">
        <v>87</v>
      </c>
      <c r="E27" s="52">
        <v>2500</v>
      </c>
      <c r="F27" s="52">
        <v>5000</v>
      </c>
      <c r="G27" s="52"/>
      <c r="H27" s="52"/>
      <c r="I27" s="52"/>
      <c r="J27" s="92"/>
    </row>
    <row r="28" spans="1:10">
      <c r="A28" s="202"/>
      <c r="B28" s="46">
        <v>24</v>
      </c>
      <c r="C28" s="43" t="s">
        <v>71</v>
      </c>
      <c r="D28" s="117" t="s">
        <v>87</v>
      </c>
      <c r="E28" s="52">
        <v>7</v>
      </c>
      <c r="F28" s="52">
        <v>2</v>
      </c>
      <c r="G28" s="52"/>
      <c r="H28" s="52"/>
      <c r="I28" s="52"/>
      <c r="J28" s="92"/>
    </row>
    <row r="29" spans="1:10" ht="14">
      <c r="A29" s="202"/>
      <c r="B29" s="62">
        <v>25</v>
      </c>
      <c r="C29" s="64" t="s">
        <v>72</v>
      </c>
      <c r="D29" s="74" t="s">
        <v>61</v>
      </c>
      <c r="E29" s="69">
        <f t="shared" ref="E29:J29" si="5">+IF(E27="","",IF(E28="","",(E27-E28)/E27))</f>
        <v>0.99719999999999998</v>
      </c>
      <c r="F29" s="69">
        <f t="shared" si="5"/>
        <v>0.99960000000000004</v>
      </c>
      <c r="G29" s="69" t="str">
        <f t="shared" si="5"/>
        <v/>
      </c>
      <c r="H29" s="69" t="str">
        <f t="shared" si="5"/>
        <v/>
      </c>
      <c r="I29" s="69" t="str">
        <f t="shared" si="5"/>
        <v/>
      </c>
      <c r="J29" s="104" t="str">
        <f t="shared" si="5"/>
        <v/>
      </c>
    </row>
    <row r="30" spans="1:10" ht="14">
      <c r="A30" s="202"/>
      <c r="B30" s="62">
        <v>26</v>
      </c>
      <c r="C30" s="64" t="s">
        <v>73</v>
      </c>
      <c r="D30" s="74" t="s">
        <v>87</v>
      </c>
      <c r="E30" s="70">
        <f t="shared" ref="E30:J30" si="6">+IF(E27="","",E27-E28)</f>
        <v>2493</v>
      </c>
      <c r="F30" s="70">
        <f t="shared" si="6"/>
        <v>4998</v>
      </c>
      <c r="G30" s="70" t="str">
        <f t="shared" si="6"/>
        <v/>
      </c>
      <c r="H30" s="70" t="str">
        <f t="shared" si="6"/>
        <v/>
      </c>
      <c r="I30" s="70" t="str">
        <f t="shared" si="6"/>
        <v/>
      </c>
      <c r="J30" s="105" t="str">
        <f t="shared" si="6"/>
        <v/>
      </c>
    </row>
    <row r="31" spans="1:10" ht="12" customHeight="1">
      <c r="A31" s="202"/>
      <c r="B31" s="62">
        <v>27</v>
      </c>
      <c r="C31" s="64" t="s">
        <v>74</v>
      </c>
      <c r="D31" s="74" t="s">
        <v>88</v>
      </c>
      <c r="E31" s="70">
        <f t="shared" ref="E31:J31" si="7">+IF(E30="","",E30/E26)</f>
        <v>415.5</v>
      </c>
      <c r="F31" s="70">
        <f t="shared" si="7"/>
        <v>714</v>
      </c>
      <c r="G31" s="70" t="str">
        <f t="shared" si="7"/>
        <v/>
      </c>
      <c r="H31" s="70" t="str">
        <f t="shared" si="7"/>
        <v/>
      </c>
      <c r="I31" s="70" t="str">
        <f t="shared" si="7"/>
        <v/>
      </c>
      <c r="J31" s="105" t="str">
        <f t="shared" si="7"/>
        <v/>
      </c>
    </row>
    <row r="32" spans="1:10" ht="12" customHeight="1">
      <c r="A32" s="202"/>
      <c r="B32" s="62">
        <v>28</v>
      </c>
      <c r="C32" s="64" t="s">
        <v>75</v>
      </c>
      <c r="D32" s="74" t="s">
        <v>88</v>
      </c>
      <c r="E32" s="70">
        <f t="shared" ref="E32:J32" si="8">+IF($E$6="","",IF(E17="","",$E$6/(E15*E17)))</f>
        <v>152.38095238095238</v>
      </c>
      <c r="F32" s="70">
        <f t="shared" si="8"/>
        <v>76.19047619047619</v>
      </c>
      <c r="G32" s="70" t="str">
        <f t="shared" si="8"/>
        <v/>
      </c>
      <c r="H32" s="70" t="str">
        <f t="shared" si="8"/>
        <v/>
      </c>
      <c r="I32" s="70" t="str">
        <f t="shared" si="8"/>
        <v/>
      </c>
      <c r="J32" s="105" t="str">
        <f t="shared" si="8"/>
        <v/>
      </c>
    </row>
    <row r="33" spans="1:10" ht="14">
      <c r="A33" s="202"/>
      <c r="B33" s="46">
        <v>29</v>
      </c>
      <c r="C33" s="43" t="s">
        <v>76</v>
      </c>
      <c r="D33" s="117" t="s">
        <v>86</v>
      </c>
      <c r="E33" s="51">
        <v>0</v>
      </c>
      <c r="F33" s="51">
        <v>0</v>
      </c>
      <c r="G33" s="51" t="s">
        <v>91</v>
      </c>
      <c r="H33" s="51"/>
      <c r="I33" s="51"/>
      <c r="J33" s="91"/>
    </row>
    <row r="34" spans="1:10" ht="35.25" customHeight="1">
      <c r="A34" s="202"/>
      <c r="B34" s="46">
        <v>30</v>
      </c>
      <c r="C34" s="50" t="s">
        <v>77</v>
      </c>
      <c r="D34" s="117" t="s">
        <v>114</v>
      </c>
      <c r="E34" s="49" t="s">
        <v>91</v>
      </c>
      <c r="F34" s="47"/>
      <c r="G34" s="48"/>
      <c r="H34" s="47"/>
      <c r="I34" s="47"/>
      <c r="J34" s="106"/>
    </row>
    <row r="35" spans="1:10" ht="33.75" hidden="1" customHeight="1">
      <c r="A35" s="202"/>
      <c r="B35" s="46"/>
      <c r="C35" s="43"/>
      <c r="D35" s="117"/>
      <c r="E35" s="41"/>
      <c r="F35" s="43"/>
      <c r="G35" s="43"/>
      <c r="H35" s="43"/>
      <c r="I35" s="43"/>
      <c r="J35" s="107"/>
    </row>
    <row r="36" spans="1:10" ht="14">
      <c r="A36" s="202"/>
      <c r="B36" s="62">
        <v>31</v>
      </c>
      <c r="C36" s="64" t="s">
        <v>78</v>
      </c>
      <c r="D36" s="74" t="s">
        <v>61</v>
      </c>
      <c r="E36" s="72">
        <f t="shared" ref="E36:J36" si="9">+IF(E31="","",$E$6/(E31*E15*E17))</f>
        <v>0.36674116096498766</v>
      </c>
      <c r="F36" s="73">
        <f t="shared" si="9"/>
        <v>0.1067093504068294</v>
      </c>
      <c r="G36" s="73" t="str">
        <f t="shared" si="9"/>
        <v/>
      </c>
      <c r="H36" s="73" t="str">
        <f t="shared" si="9"/>
        <v/>
      </c>
      <c r="I36" s="73" t="str">
        <f t="shared" si="9"/>
        <v/>
      </c>
      <c r="J36" s="108" t="str">
        <f t="shared" si="9"/>
        <v/>
      </c>
    </row>
    <row r="37" spans="1:10" ht="14">
      <c r="A37" s="203"/>
      <c r="B37" s="62">
        <v>32</v>
      </c>
      <c r="C37" s="64" t="s">
        <v>68</v>
      </c>
      <c r="D37" s="74" t="s">
        <v>85</v>
      </c>
      <c r="E37" s="68" t="str">
        <f t="shared" ref="E37:J37" si="10">+IF(E36=MAX($E$36:$Z$36),"X","")</f>
        <v>X</v>
      </c>
      <c r="F37" s="68" t="str">
        <f t="shared" si="10"/>
        <v/>
      </c>
      <c r="G37" s="68" t="str">
        <f t="shared" si="10"/>
        <v/>
      </c>
      <c r="H37" s="68" t="str">
        <f t="shared" si="10"/>
        <v/>
      </c>
      <c r="I37" s="68" t="str">
        <f t="shared" si="10"/>
        <v/>
      </c>
      <c r="J37" s="102" t="str">
        <f t="shared" si="10"/>
        <v/>
      </c>
    </row>
    <row r="38" spans="1:10">
      <c r="A38" s="109"/>
      <c r="B38" s="180" t="s">
        <v>99</v>
      </c>
      <c r="C38" s="181"/>
      <c r="D38" s="82"/>
      <c r="E38" s="82"/>
      <c r="F38" s="82"/>
      <c r="G38" s="182" t="s">
        <v>98</v>
      </c>
      <c r="H38" s="183"/>
      <c r="I38" s="45" t="s">
        <v>91</v>
      </c>
      <c r="J38" s="110"/>
    </row>
    <row r="39" spans="1:10" ht="16" customHeight="1">
      <c r="A39" s="111" t="s">
        <v>111</v>
      </c>
      <c r="B39" s="184">
        <v>33</v>
      </c>
      <c r="C39" s="187" t="s">
        <v>110</v>
      </c>
      <c r="D39" s="188"/>
      <c r="E39" s="188"/>
      <c r="F39" s="128" t="s">
        <v>111</v>
      </c>
      <c r="G39" s="44" t="s">
        <v>97</v>
      </c>
      <c r="H39" s="189" t="s">
        <v>96</v>
      </c>
      <c r="I39" s="190" t="s">
        <v>113</v>
      </c>
      <c r="J39" s="191"/>
    </row>
    <row r="40" spans="1:10" ht="16" customHeight="1">
      <c r="A40" s="111" t="s">
        <v>112</v>
      </c>
      <c r="B40" s="185"/>
      <c r="C40" s="192" t="s">
        <v>91</v>
      </c>
      <c r="D40" s="192"/>
      <c r="E40" s="192"/>
      <c r="F40" s="43"/>
      <c r="G40" s="42" t="s">
        <v>95</v>
      </c>
      <c r="H40" s="189"/>
      <c r="I40" s="193" t="s">
        <v>91</v>
      </c>
      <c r="J40" s="194"/>
    </row>
    <row r="41" spans="1:10" ht="16" customHeight="1">
      <c r="A41" s="111"/>
      <c r="B41" s="185"/>
      <c r="C41" s="71" t="s">
        <v>94</v>
      </c>
      <c r="D41" s="126"/>
      <c r="E41" s="97" t="s">
        <v>92</v>
      </c>
      <c r="F41" s="40"/>
      <c r="G41" s="199">
        <f>+MAX(E36:DJ36)</f>
        <v>0.36674116096498766</v>
      </c>
      <c r="H41" s="200" t="str">
        <f>+IF(G41&gt;1,"Unacceptable","Acceptable")</f>
        <v>Acceptable</v>
      </c>
      <c r="I41" s="195"/>
      <c r="J41" s="196"/>
    </row>
    <row r="42" spans="1:10" ht="16" customHeight="1">
      <c r="A42" s="111"/>
      <c r="B42" s="186"/>
      <c r="C42" s="71" t="s">
        <v>93</v>
      </c>
      <c r="D42" s="127"/>
      <c r="E42" s="97" t="s">
        <v>92</v>
      </c>
      <c r="F42" s="40"/>
      <c r="G42" s="199"/>
      <c r="H42" s="200"/>
      <c r="I42" s="197"/>
      <c r="J42" s="198"/>
    </row>
    <row r="43" spans="1:10" ht="13.25" customHeight="1" thickBot="1">
      <c r="A43" s="112"/>
      <c r="B43" s="39"/>
      <c r="C43" s="39"/>
      <c r="D43" s="39"/>
      <c r="E43" s="39"/>
      <c r="F43" s="39"/>
      <c r="G43" s="39"/>
      <c r="H43" s="39"/>
      <c r="I43" s="39"/>
      <c r="J43" s="113"/>
    </row>
    <row r="44" spans="1:10" ht="18.75" customHeight="1">
      <c r="A44" s="38"/>
      <c r="B44" s="37" t="s">
        <v>91</v>
      </c>
      <c r="C44" s="36" t="s">
        <v>91</v>
      </c>
      <c r="D44" s="178"/>
      <c r="E44" s="178"/>
      <c r="F44" s="178"/>
      <c r="G44" s="179" t="s">
        <v>91</v>
      </c>
      <c r="H44" s="179"/>
      <c r="I44" s="178"/>
      <c r="J44" s="178"/>
    </row>
  </sheetData>
  <sheetProtection algorithmName="SHA-512" hashValue="VJhq3l9QTgf23jylGsDxy37w8CMrhuZOBloB0FPitPDWEEzhae33bzChePKn9vlxiVRzXi75kn2tiV+FJyWT2Q==" saltValue="sq+w1W7NeEME+WQRNuF3pw==" spinCount="100000" sheet="1" objects="1" scenarios="1" deleteColumns="0" deleteRows="0"/>
  <dataConsolidate/>
  <mergeCells count="26">
    <mergeCell ref="A26:A37"/>
    <mergeCell ref="A1:C1"/>
    <mergeCell ref="D1:H2"/>
    <mergeCell ref="A2:C2"/>
    <mergeCell ref="D4:E4"/>
    <mergeCell ref="H4:J4"/>
    <mergeCell ref="D5:E5"/>
    <mergeCell ref="H5:J5"/>
    <mergeCell ref="H6:J6"/>
    <mergeCell ref="C8:D8"/>
    <mergeCell ref="C9:D9"/>
    <mergeCell ref="A11:A15"/>
    <mergeCell ref="A17:A24"/>
    <mergeCell ref="D44:F44"/>
    <mergeCell ref="G44:H44"/>
    <mergeCell ref="I44:J44"/>
    <mergeCell ref="B38:C38"/>
    <mergeCell ref="G38:H38"/>
    <mergeCell ref="B39:B42"/>
    <mergeCell ref="C39:E39"/>
    <mergeCell ref="H39:H40"/>
    <mergeCell ref="I39:J39"/>
    <mergeCell ref="C40:E40"/>
    <mergeCell ref="I40:J42"/>
    <mergeCell ref="G41:G42"/>
    <mergeCell ref="H41:H42"/>
  </mergeCells>
  <conditionalFormatting sqref="G41:G42">
    <cfRule type="cellIs" dxfId="1" priority="1" stopIfTrue="1" operator="lessThan">
      <formula>1</formula>
    </cfRule>
    <cfRule type="cellIs" dxfId="0" priority="2" stopIfTrue="1" operator="greaterThan">
      <formula>1</formula>
    </cfRule>
  </conditionalFormatting>
  <dataValidations count="1">
    <dataValidation type="list" allowBlank="1" showInputMessage="1" showErrorMessage="1" sqref="F39 D41 D42" xr:uid="{32D73850-B27C-944D-AAD1-C16101AC1B9E}">
      <formula1>$A$39:$A$40</formula1>
    </dataValidation>
  </dataValidations>
  <printOptions horizontalCentered="1" verticalCentered="1"/>
  <pageMargins left="0.34" right="0.24" top="0.51" bottom="0.39" header="0.31" footer="0.26"/>
  <pageSetup paperSize="9" scale="72" orientation="landscape"/>
  <headerFooter alignWithMargins="0">
    <oddHeader>&amp;R&amp;"Times New Roman,Regular"&amp;6IPA Form No. EE517 Issue 1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F540D-689A-AE45-BBA9-3A7D83A2E148}">
  <dimension ref="A1:K10"/>
  <sheetViews>
    <sheetView workbookViewId="0">
      <selection activeCell="H15" sqref="H15"/>
    </sheetView>
  </sheetViews>
  <sheetFormatPr baseColWidth="10" defaultRowHeight="16"/>
  <sheetData>
    <row r="1" spans="1:11">
      <c r="A1" s="141"/>
      <c r="B1" s="225" t="s">
        <v>115</v>
      </c>
      <c r="C1" s="226"/>
      <c r="D1" s="226"/>
      <c r="E1" s="226"/>
      <c r="F1" s="226"/>
      <c r="G1" s="226"/>
      <c r="H1" s="226"/>
      <c r="I1" s="226"/>
      <c r="J1" s="226"/>
      <c r="K1" s="227"/>
    </row>
    <row r="2" spans="1:11">
      <c r="A2" s="22"/>
      <c r="B2" s="228"/>
      <c r="C2" s="229"/>
      <c r="D2" s="229"/>
      <c r="E2" s="229"/>
      <c r="F2" s="229"/>
      <c r="G2" s="229"/>
      <c r="H2" s="229"/>
      <c r="I2" s="229"/>
      <c r="J2" s="229"/>
      <c r="K2" s="230"/>
    </row>
    <row r="3" spans="1:11">
      <c r="A3" s="171"/>
      <c r="B3" s="224">
        <v>0</v>
      </c>
      <c r="C3" s="114">
        <v>1</v>
      </c>
      <c r="D3" s="114">
        <v>2</v>
      </c>
      <c r="E3" s="114">
        <v>3</v>
      </c>
      <c r="F3" s="114">
        <v>4</v>
      </c>
      <c r="G3" s="114">
        <v>5</v>
      </c>
      <c r="H3" s="114">
        <v>6</v>
      </c>
      <c r="I3" s="114">
        <v>7</v>
      </c>
      <c r="J3" s="114">
        <v>8</v>
      </c>
      <c r="K3" s="142">
        <v>9</v>
      </c>
    </row>
    <row r="4" spans="1:11">
      <c r="A4" s="171"/>
      <c r="B4" s="224"/>
      <c r="C4" s="12">
        <v>0.02</v>
      </c>
      <c r="D4" s="12">
        <v>0.03</v>
      </c>
      <c r="E4" s="12">
        <v>0.05</v>
      </c>
      <c r="F4" s="12">
        <v>0.06</v>
      </c>
      <c r="G4" s="12">
        <v>0.08</v>
      </c>
      <c r="H4" s="12">
        <v>0.1</v>
      </c>
      <c r="I4" s="12">
        <v>0.11</v>
      </c>
      <c r="J4" s="12">
        <v>0.13</v>
      </c>
      <c r="K4" s="143">
        <v>0.15</v>
      </c>
    </row>
    <row r="5" spans="1:11">
      <c r="A5" s="144">
        <v>10</v>
      </c>
      <c r="B5" s="6">
        <v>0.16</v>
      </c>
      <c r="C5" s="12">
        <v>0.18</v>
      </c>
      <c r="D5" s="12">
        <v>0.2</v>
      </c>
      <c r="E5" s="12">
        <v>0.21</v>
      </c>
      <c r="F5" s="12">
        <v>0.23</v>
      </c>
      <c r="G5" s="12">
        <v>0.245</v>
      </c>
      <c r="H5" s="12">
        <v>0.26100000000000001</v>
      </c>
      <c r="I5" s="12">
        <v>0.28000000000000003</v>
      </c>
      <c r="J5" s="12">
        <v>0.3</v>
      </c>
      <c r="K5" s="143">
        <v>0.309</v>
      </c>
    </row>
    <row r="6" spans="1:11">
      <c r="A6" s="144">
        <v>20</v>
      </c>
      <c r="B6" s="6">
        <v>0.33</v>
      </c>
      <c r="C6" s="12">
        <v>0.35</v>
      </c>
      <c r="D6" s="12">
        <v>0.36</v>
      </c>
      <c r="E6" s="12">
        <v>0.38</v>
      </c>
      <c r="F6" s="12">
        <v>0.4</v>
      </c>
      <c r="G6" s="12">
        <v>0.41</v>
      </c>
      <c r="H6" s="12">
        <v>0.43</v>
      </c>
      <c r="I6" s="145">
        <v>0.45</v>
      </c>
      <c r="J6" s="12">
        <v>0.46</v>
      </c>
      <c r="K6" s="143">
        <v>0.48</v>
      </c>
    </row>
    <row r="7" spans="1:11">
      <c r="A7" s="144">
        <v>30</v>
      </c>
      <c r="B7" s="6">
        <v>0.5</v>
      </c>
      <c r="C7" s="12">
        <v>0.52</v>
      </c>
      <c r="D7" s="12">
        <v>0.53</v>
      </c>
      <c r="E7" s="12">
        <v>0.55000000000000004</v>
      </c>
      <c r="F7" s="12">
        <v>0.56000000000000005</v>
      </c>
      <c r="G7" s="12">
        <v>0.57999999999999996</v>
      </c>
      <c r="H7" s="12">
        <v>0.6</v>
      </c>
      <c r="I7" s="12">
        <v>0.61</v>
      </c>
      <c r="J7" s="12">
        <v>0.63</v>
      </c>
      <c r="K7" s="143">
        <v>0.65</v>
      </c>
    </row>
    <row r="8" spans="1:11">
      <c r="A8" s="144">
        <v>40</v>
      </c>
      <c r="B8" s="6">
        <v>0.66</v>
      </c>
      <c r="C8" s="12">
        <v>0.68</v>
      </c>
      <c r="D8" s="12">
        <v>0.69</v>
      </c>
      <c r="E8" s="12">
        <v>0.71</v>
      </c>
      <c r="F8" s="12">
        <v>0.72</v>
      </c>
      <c r="G8" s="12">
        <v>0.74</v>
      </c>
      <c r="H8" s="12">
        <v>0.76</v>
      </c>
      <c r="I8" s="12">
        <v>0.77</v>
      </c>
      <c r="J8" s="12">
        <v>0.73</v>
      </c>
      <c r="K8" s="143">
        <v>0.81</v>
      </c>
    </row>
    <row r="9" spans="1:11">
      <c r="A9" s="144">
        <v>50</v>
      </c>
      <c r="B9" s="6">
        <v>0.83</v>
      </c>
      <c r="C9" s="12">
        <v>0.85</v>
      </c>
      <c r="D9" s="12">
        <v>0.86</v>
      </c>
      <c r="E9" s="12">
        <v>0.88</v>
      </c>
      <c r="F9" s="12">
        <v>0.91</v>
      </c>
      <c r="G9" s="12">
        <v>0.91</v>
      </c>
      <c r="H9" s="12">
        <v>0.93</v>
      </c>
      <c r="I9" s="12">
        <v>0.94</v>
      </c>
      <c r="J9" s="12">
        <v>0.96</v>
      </c>
      <c r="K9" s="143">
        <v>0.98</v>
      </c>
    </row>
    <row r="10" spans="1:11" ht="17" thickBot="1">
      <c r="A10" s="146">
        <v>60</v>
      </c>
      <c r="B10" s="147">
        <v>1</v>
      </c>
      <c r="C10" s="28"/>
      <c r="D10" s="28"/>
      <c r="E10" s="28"/>
      <c r="F10" s="28"/>
      <c r="G10" s="28"/>
      <c r="H10" s="28"/>
      <c r="I10" s="28"/>
      <c r="J10" s="28"/>
      <c r="K10" s="29"/>
    </row>
  </sheetData>
  <sheetProtection algorithmName="SHA-512" hashValue="dhEWCw06IprqJVhvtbGgWmiM6SQHSNNrsgFN/95xwl0f1g40oHz3iHqvOE4c5B6kwRoIjQZtGxxiirF4tLPGOQ==" saltValue="34UCrfB1HMfQ86/OuJHCxQ==" spinCount="100000" sheet="1" objects="1" scenarios="1" deleteColumns="0" deleteRows="0"/>
  <mergeCells count="3">
    <mergeCell ref="A3:A4"/>
    <mergeCell ref="B3:B4"/>
    <mergeCell ref="B1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Nazwane zakresy</vt:lpstr>
      </vt:variant>
      <vt:variant>
        <vt:i4>2</vt:i4>
      </vt:variant>
    </vt:vector>
  </HeadingPairs>
  <TitlesOfParts>
    <vt:vector size="5" baseType="lpstr">
      <vt:lpstr>R@R_data base</vt:lpstr>
      <vt:lpstr>R@R_form</vt:lpstr>
      <vt:lpstr>katra przeliczeń</vt:lpstr>
      <vt:lpstr>'R@R_data base'!Obszar_wydruku</vt:lpstr>
      <vt:lpstr>'R@R_form'!Obszar_wydruku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Piotrów</dc:creator>
  <cp:lastModifiedBy>Marcin Piotrów</cp:lastModifiedBy>
  <dcterms:created xsi:type="dcterms:W3CDTF">2019-12-26T12:57:21Z</dcterms:created>
  <dcterms:modified xsi:type="dcterms:W3CDTF">2020-01-16T10:26:03Z</dcterms:modified>
</cp:coreProperties>
</file>