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9720" windowHeight="6990" activeTab="0"/>
  </bookViews>
  <sheets>
    <sheet name="Tabelle1" sheetId="1" r:id="rId1"/>
  </sheets>
  <definedNames>
    <definedName name="_xlnm.Print_Area" localSheetId="0">'Tabelle1'!$A$1:$S$64</definedName>
  </definedNames>
  <calcPr fullCalcOnLoad="1"/>
</workbook>
</file>

<file path=xl/sharedStrings.xml><?xml version="1.0" encoding="utf-8"?>
<sst xmlns="http://schemas.openxmlformats.org/spreadsheetml/2006/main" count="192" uniqueCount="144">
  <si>
    <t>Maximum:</t>
  </si>
  <si>
    <t>Minimum:</t>
  </si>
  <si>
    <t>Max - Min</t>
  </si>
  <si>
    <t>6s</t>
  </si>
  <si>
    <t>OGW - Mittelw</t>
  </si>
  <si>
    <t>3s</t>
  </si>
  <si>
    <t>Xq</t>
  </si>
  <si>
    <t>s</t>
  </si>
  <si>
    <t>Xqq-6s</t>
  </si>
  <si>
    <t>Xqq-5s</t>
  </si>
  <si>
    <t>Xqq-4s</t>
  </si>
  <si>
    <t>1 - 5</t>
  </si>
  <si>
    <t>Xqq-3s</t>
  </si>
  <si>
    <t>6 - 10</t>
  </si>
  <si>
    <t>Xqq-2s</t>
  </si>
  <si>
    <t>11 - 15</t>
  </si>
  <si>
    <t>Xqq-1s</t>
  </si>
  <si>
    <t>16 - 20</t>
  </si>
  <si>
    <t>Xqq</t>
  </si>
  <si>
    <t>Summe</t>
  </si>
  <si>
    <t>21 - 25</t>
  </si>
  <si>
    <t>Xqq+1s</t>
  </si>
  <si>
    <t>26 - 30</t>
  </si>
  <si>
    <t>Xqq+2s</t>
  </si>
  <si>
    <t>31 - 35</t>
  </si>
  <si>
    <t>Xqq+3s</t>
  </si>
  <si>
    <t>36 - 40</t>
  </si>
  <si>
    <t>Xqq+4s</t>
  </si>
  <si>
    <t>41 - 45</t>
  </si>
  <si>
    <t>Xqq+5s</t>
  </si>
  <si>
    <t>46 - 50</t>
  </si>
  <si>
    <t>Xqq+6s</t>
  </si>
  <si>
    <t>Beurteilung</t>
  </si>
  <si>
    <t>Cp:</t>
  </si>
  <si>
    <t>Cpk:</t>
  </si>
  <si>
    <t>Nr</t>
  </si>
  <si>
    <t>Max</t>
  </si>
  <si>
    <t>MIN</t>
  </si>
  <si>
    <t>Xq+6s</t>
  </si>
  <si>
    <t>Xq-6s</t>
  </si>
  <si>
    <t>a)</t>
  </si>
  <si>
    <t>b)</t>
  </si>
  <si>
    <t>Xq-x</t>
  </si>
  <si>
    <t>1bis 10</t>
  </si>
  <si>
    <t>1 bis 10</t>
  </si>
  <si>
    <t>min</t>
  </si>
  <si>
    <t>Maximum</t>
  </si>
  <si>
    <t>Berechnung Anzahl der Tage</t>
  </si>
  <si>
    <t>Process Capability</t>
  </si>
  <si>
    <t>with upper limit and lower limit</t>
  </si>
  <si>
    <t>Parts description:</t>
  </si>
  <si>
    <t>Part no.:</t>
  </si>
  <si>
    <t>Item no.:</t>
  </si>
  <si>
    <t>Machine description:</t>
  </si>
  <si>
    <t>Machine no.:</t>
  </si>
  <si>
    <t>Tool no.:</t>
  </si>
  <si>
    <t>Tester:</t>
  </si>
  <si>
    <t>Evaluated by:</t>
  </si>
  <si>
    <t>Test date:</t>
  </si>
  <si>
    <t>Evaluated on:</t>
  </si>
  <si>
    <t>Characteristic:</t>
  </si>
  <si>
    <t>Test equipment nor.:</t>
  </si>
  <si>
    <t>Unit:</t>
  </si>
  <si>
    <t>upper limit:</t>
  </si>
  <si>
    <t>lower limit:</t>
  </si>
  <si>
    <t>nominal Cp/Cpk:</t>
  </si>
  <si>
    <t>Value</t>
  </si>
  <si>
    <t>No.</t>
  </si>
  <si>
    <t>Test</t>
  </si>
  <si>
    <t>date</t>
  </si>
  <si>
    <t>time</t>
  </si>
  <si>
    <t>Nominal distribution   lower limit/upper limit   actual distribution</t>
  </si>
  <si>
    <t>average value Xqq:</t>
  </si>
  <si>
    <r>
      <t>standard deviation s</t>
    </r>
    <r>
      <rPr>
        <sz val="5"/>
        <rFont val="Arial"/>
        <family val="2"/>
      </rPr>
      <t>q</t>
    </r>
    <r>
      <rPr>
        <sz val="8"/>
        <rFont val="Arial"/>
        <family val="2"/>
      </rPr>
      <t>:</t>
    </r>
  </si>
  <si>
    <t>peak valuet:</t>
  </si>
  <si>
    <t>minimum value:</t>
  </si>
  <si>
    <t>required tolerance (+/-):</t>
  </si>
  <si>
    <t>and/or required dispersion:</t>
  </si>
  <si>
    <t>and Xq correction:</t>
  </si>
  <si>
    <t xml:space="preserve">Data analysis </t>
  </si>
  <si>
    <t>average value:</t>
  </si>
  <si>
    <t>standard deviation.</t>
  </si>
  <si>
    <t>nominal mean value</t>
  </si>
  <si>
    <t>nominal standard</t>
  </si>
  <si>
    <t>nominal lower limit</t>
  </si>
  <si>
    <t>nominal upper limit</t>
  </si>
  <si>
    <t>tolerance range</t>
  </si>
  <si>
    <t xml:space="preserve">possible tolerance range </t>
  </si>
  <si>
    <t>possible +/- tolerance</t>
  </si>
  <si>
    <t>Result estimate:</t>
  </si>
  <si>
    <t>average value lower limit</t>
  </si>
  <si>
    <t>evaluation of result</t>
  </si>
  <si>
    <t>Evaluation of result2</t>
  </si>
  <si>
    <t>Class estimate</t>
  </si>
  <si>
    <t>Chart data classes</t>
  </si>
  <si>
    <t>number</t>
  </si>
  <si>
    <t>total</t>
  </si>
  <si>
    <t>Calculation of normal distribution</t>
  </si>
  <si>
    <t>ACTUAL</t>
  </si>
  <si>
    <t>Nom.</t>
  </si>
  <si>
    <t>limits</t>
  </si>
  <si>
    <t>X-value</t>
  </si>
  <si>
    <t>Y-value</t>
  </si>
  <si>
    <t>valueWert</t>
  </si>
  <si>
    <t>initial value:</t>
  </si>
  <si>
    <t>increment:</t>
  </si>
  <si>
    <t>Xqnom.+6s</t>
  </si>
  <si>
    <t>Xqnom.-6s</t>
  </si>
  <si>
    <t>Intermediate results</t>
  </si>
  <si>
    <t>data analysis</t>
  </si>
  <si>
    <t>Values</t>
  </si>
  <si>
    <t>sum a)</t>
  </si>
  <si>
    <t>square</t>
  </si>
  <si>
    <t>total b)</t>
  </si>
  <si>
    <t>1to 25</t>
  </si>
  <si>
    <t>26 to 50</t>
  </si>
  <si>
    <t>1 to 50</t>
  </si>
  <si>
    <t>1to25</t>
  </si>
  <si>
    <t>26to50</t>
  </si>
  <si>
    <t>1to50</t>
  </si>
  <si>
    <t>1 to 25</t>
  </si>
  <si>
    <t>51 to 75</t>
  </si>
  <si>
    <t>76 to 100</t>
  </si>
  <si>
    <t>for Cp/Cpk</t>
  </si>
  <si>
    <t>Nominal value:</t>
  </si>
  <si>
    <t>11:15</t>
  </si>
  <si>
    <t>13:15</t>
  </si>
  <si>
    <t>Cp</t>
  </si>
  <si>
    <t>Cpk upper</t>
  </si>
  <si>
    <t>Cpk lower</t>
  </si>
  <si>
    <t>Cp Eval.</t>
  </si>
  <si>
    <t xml:space="preserve">Cpk l. eval. </t>
  </si>
  <si>
    <t>Cpk u eval.</t>
  </si>
  <si>
    <t>Nominal Cp/Cpk</t>
  </si>
  <si>
    <t>Tolerance in m</t>
  </si>
  <si>
    <t>11:00</t>
  </si>
  <si>
    <t>11:30</t>
  </si>
  <si>
    <t>12:00</t>
  </si>
  <si>
    <t>12:15</t>
  </si>
  <si>
    <t>13:30</t>
  </si>
  <si>
    <t>13:45</t>
  </si>
  <si>
    <t>14:00</t>
  </si>
  <si>
    <t>mm</t>
  </si>
  <si>
    <t>18.02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</si>
</sst>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* #,##0_-;\-* #,##0_-;_-* &quot;-&quot;_-;_-@_-"/>
    <numFmt numFmtId="186" formatCode="_-&quot;öS&quot;\ * #,##0.00_-;\-&quot;öS&quot;\ * #,##0.00_-;_-&quot;öS&quot;\ * &quot;-&quot;??_-;_-@_-"/>
    <numFmt numFmtId="187" formatCode="_-* #,##0.00_-;\-* #,##0.00_-;_-* &quot;-&quot;??_-;_-@_-"/>
    <numFmt numFmtId="188" formatCode="0.000"/>
    <numFmt numFmtId="189" formatCode="0.0000"/>
    <numFmt numFmtId="190" formatCode="0.00000"/>
    <numFmt numFmtId="191" formatCode="d/mm/yyyy"/>
    <numFmt numFmtId="192" formatCode="yy\-mm"/>
    <numFmt numFmtId="193" formatCode="0.0000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.00000000E+00"/>
    <numFmt numFmtId="201" formatCode="0E+0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4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u val="single"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Alignment="1">
      <alignment horizontal="right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188" fontId="11" fillId="0" borderId="0" xfId="0" applyNumberFormat="1" applyFont="1" applyBorder="1" applyAlignment="1">
      <alignment/>
    </xf>
    <xf numFmtId="188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2" fontId="11" fillId="0" borderId="21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Alignment="1">
      <alignment horizontal="centerContinuous"/>
    </xf>
    <xf numFmtId="189" fontId="6" fillId="0" borderId="0" xfId="0" applyNumberFormat="1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right" vertical="top"/>
    </xf>
    <xf numFmtId="0" fontId="13" fillId="0" borderId="10" xfId="0" applyFont="1" applyBorder="1" applyAlignment="1">
      <alignment horizontal="left" vertical="top"/>
    </xf>
    <xf numFmtId="188" fontId="13" fillId="0" borderId="10" xfId="0" applyNumberFormat="1" applyFont="1" applyBorder="1" applyAlignment="1">
      <alignment horizontal="left" vertical="top"/>
    </xf>
    <xf numFmtId="188" fontId="6" fillId="0" borderId="0" xfId="0" applyNumberFormat="1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88" fontId="1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10" xfId="0" applyFont="1" applyBorder="1" applyAlignment="1">
      <alignment vertical="top"/>
    </xf>
    <xf numFmtId="189" fontId="12" fillId="0" borderId="10" xfId="0" applyNumberFormat="1" applyFont="1" applyBorder="1" applyAlignment="1">
      <alignment horizontal="right"/>
    </xf>
    <xf numFmtId="188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4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0" fontId="5" fillId="0" borderId="25" xfId="0" applyFont="1" applyBorder="1" applyAlignment="1">
      <alignment/>
    </xf>
    <xf numFmtId="49" fontId="5" fillId="0" borderId="26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5" xfId="0" applyFont="1" applyBorder="1" applyAlignment="1">
      <alignment/>
    </xf>
    <xf numFmtId="49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2" fillId="0" borderId="24" xfId="0" applyFont="1" applyBorder="1" applyAlignment="1">
      <alignment/>
    </xf>
    <xf numFmtId="49" fontId="14" fillId="0" borderId="24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189" fontId="1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1" fillId="0" borderId="2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Continuous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88" fontId="13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189" fontId="1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7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1" xfId="0" applyFont="1" applyBorder="1" applyAlignment="1">
      <alignment/>
    </xf>
    <xf numFmtId="17" fontId="4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2" fontId="12" fillId="0" borderId="24" xfId="0" applyNumberFormat="1" applyFont="1" applyBorder="1" applyAlignment="1" applyProtection="1">
      <alignment/>
      <protection hidden="1"/>
    </xf>
    <xf numFmtId="0" fontId="12" fillId="0" borderId="24" xfId="0" applyFont="1" applyBorder="1" applyAlignment="1" applyProtection="1">
      <alignment/>
      <protection hidden="1"/>
    </xf>
    <xf numFmtId="188" fontId="5" fillId="0" borderId="0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Border="1" applyAlignment="1">
      <alignment/>
    </xf>
    <xf numFmtId="2" fontId="4" fillId="0" borderId="25" xfId="0" applyNumberFormat="1" applyFont="1" applyBorder="1" applyAlignment="1" applyProtection="1">
      <alignment/>
      <protection locked="0"/>
    </xf>
    <xf numFmtId="2" fontId="4" fillId="0" borderId="28" xfId="0" applyNumberFormat="1" applyFont="1" applyBorder="1" applyAlignment="1" applyProtection="1">
      <alignment/>
      <protection locked="0"/>
    </xf>
    <xf numFmtId="2" fontId="4" fillId="0" borderId="29" xfId="0" applyNumberFormat="1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 horizontal="centerContinuous"/>
      <protection locked="0"/>
    </xf>
    <xf numFmtId="2" fontId="6" fillId="0" borderId="30" xfId="0" applyNumberFormat="1" applyFont="1" applyBorder="1" applyAlignment="1" applyProtection="1">
      <alignment horizontal="centerContinuous"/>
      <protection locked="0"/>
    </xf>
    <xf numFmtId="2" fontId="12" fillId="0" borderId="30" xfId="0" applyNumberFormat="1" applyFont="1" applyBorder="1" applyAlignment="1" applyProtection="1">
      <alignment horizontal="right"/>
      <protection locked="0"/>
    </xf>
    <xf numFmtId="2" fontId="12" fillId="0" borderId="3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Continuous"/>
      <protection locked="0"/>
    </xf>
    <xf numFmtId="49" fontId="10" fillId="0" borderId="24" xfId="0" applyNumberFormat="1" applyFont="1" applyBorder="1" applyAlignment="1" applyProtection="1">
      <alignment/>
      <protection locked="0"/>
    </xf>
    <xf numFmtId="49" fontId="10" fillId="0" borderId="24" xfId="51" applyNumberFormat="1" applyFont="1" applyBorder="1" applyProtection="1">
      <alignment/>
      <protection locked="0"/>
    </xf>
    <xf numFmtId="190" fontId="12" fillId="0" borderId="24" xfId="0" applyNumberFormat="1" applyFont="1" applyBorder="1" applyAlignment="1" applyProtection="1">
      <alignment/>
      <protection hidden="1"/>
    </xf>
    <xf numFmtId="189" fontId="4" fillId="0" borderId="0" xfId="0" applyNumberFormat="1" applyFont="1" applyBorder="1" applyAlignment="1">
      <alignment/>
    </xf>
    <xf numFmtId="201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30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/>
      <protection locked="0"/>
    </xf>
    <xf numFmtId="49" fontId="6" fillId="0" borderId="31" xfId="0" applyNumberFormat="1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 wrapText="1"/>
      <protection locked="0"/>
    </xf>
    <xf numFmtId="0" fontId="6" fillId="0" borderId="30" xfId="0" applyFont="1" applyBorder="1" applyAlignment="1" applyProtection="1">
      <alignment horizontal="center"/>
      <protection locked="0"/>
    </xf>
    <xf numFmtId="14" fontId="6" fillId="0" borderId="31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4" fontId="6" fillId="0" borderId="30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AL-FOJ-TT-058 Process Capabilit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value distribution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95"/>
          <c:w val="0.9125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Tabelle1!$Y$26:$Y$37</c:f>
              <c:strCache/>
            </c:strRef>
          </c:cat>
          <c:val>
            <c:numRef>
              <c:f>Tabelle1!$Z$26:$Z$37</c:f>
              <c:numCache/>
            </c:numRef>
          </c:val>
        </c:ser>
        <c:gapWidth val="0"/>
        <c:axId val="66123224"/>
        <c:axId val="58238105"/>
      </c:bar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8105"/>
        <c:crosses val="autoZero"/>
        <c:auto val="0"/>
        <c:lblOffset val="100"/>
        <c:tickLblSkip val="1"/>
        <c:noMultiLvlLbl val="0"/>
      </c:catAx>
      <c:valAx>
        <c:axId val="58238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3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Position and distribution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5"/>
          <c:w val="1"/>
          <c:h val="0.80725"/>
        </c:manualLayout>
      </c:layout>
      <c:lineChart>
        <c:grouping val="standard"/>
        <c:varyColors val="0"/>
        <c:ser>
          <c:idx val="2"/>
          <c:order val="0"/>
          <c:tx>
            <c:v>Nominal distribution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Tabelle1!$F$69:$F$268</c:f>
              <c:numCache/>
            </c:numRef>
          </c:cat>
          <c:val>
            <c:numRef>
              <c:f>Tabelle1!$H$69:$H$268</c:f>
              <c:numCache/>
            </c:numRef>
          </c:val>
          <c:smooth val="0"/>
        </c:ser>
        <c:ser>
          <c:idx val="0"/>
          <c:order val="1"/>
          <c:tx>
            <c:v>lower limit/upper limit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Tabelle1!$F$69:$F$268</c:f>
              <c:numCache/>
            </c:numRef>
          </c:cat>
          <c:val>
            <c:numRef>
              <c:f>Tabelle1!$I$69:$I$268</c:f>
              <c:numCache/>
            </c:numRef>
          </c:val>
          <c:smooth val="0"/>
        </c:ser>
        <c:ser>
          <c:idx val="1"/>
          <c:order val="2"/>
          <c:tx>
            <c:v>Actual distribution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Tabelle1!$F$69:$F$268</c:f>
              <c:numCache/>
            </c:numRef>
          </c:cat>
          <c:val>
            <c:numRef>
              <c:f>Tabelle1!$G$69:$G$268</c:f>
              <c:numCache/>
            </c:numRef>
          </c:val>
          <c:smooth val="0"/>
        </c:ser>
        <c:marker val="1"/>
        <c:axId val="54380898"/>
        <c:axId val="19666035"/>
      </c:lineChart>
      <c:catAx>
        <c:axId val="543808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66035"/>
        <c:crosses val="autoZero"/>
        <c:auto val="0"/>
        <c:lblOffset val="100"/>
        <c:tickLblSkip val="9"/>
        <c:tickMarkSkip val="5"/>
        <c:noMultiLvlLbl val="0"/>
      </c:catAx>
      <c:valAx>
        <c:axId val="19666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08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9275"/>
          <c:w val="0.639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0.49925</cdr:y>
    </cdr:from>
    <cdr:to>
      <cdr:x>1</cdr:x>
      <cdr:y>0.544</cdr:y>
    </cdr:to>
    <cdr:sp>
      <cdr:nvSpPr>
        <cdr:cNvPr id="1" name="Text Box 1"/>
        <cdr:cNvSpPr txBox="1">
          <a:spLocks noChangeArrowheads="1"/>
        </cdr:cNvSpPr>
      </cdr:nvSpPr>
      <cdr:spPr>
        <a:xfrm>
          <a:off x="2505075" y="1876425"/>
          <a:ext cx="24669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17</xdr:row>
      <xdr:rowOff>9525</xdr:rowOff>
    </xdr:from>
    <xdr:to>
      <xdr:col>15</xdr:col>
      <xdr:colOff>361950</xdr:colOff>
      <xdr:row>30</xdr:row>
      <xdr:rowOff>0</xdr:rowOff>
    </xdr:to>
    <xdr:graphicFrame>
      <xdr:nvGraphicFramePr>
        <xdr:cNvPr id="1" name="Wykres 1"/>
        <xdr:cNvGraphicFramePr/>
      </xdr:nvGraphicFramePr>
      <xdr:xfrm>
        <a:off x="3228975" y="2914650"/>
        <a:ext cx="22479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30</xdr:row>
      <xdr:rowOff>123825</xdr:rowOff>
    </xdr:from>
    <xdr:to>
      <xdr:col>18</xdr:col>
      <xdr:colOff>9525</xdr:colOff>
      <xdr:row>54</xdr:row>
      <xdr:rowOff>0</xdr:rowOff>
    </xdr:to>
    <xdr:graphicFrame>
      <xdr:nvGraphicFramePr>
        <xdr:cNvPr id="2" name="Wykres 2"/>
        <xdr:cNvGraphicFramePr/>
      </xdr:nvGraphicFramePr>
      <xdr:xfrm>
        <a:off x="1295400" y="5133975"/>
        <a:ext cx="49720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8"/>
  <sheetViews>
    <sheetView showGridLines="0" tabSelected="1" view="pageBreakPreview" zoomScaleSheetLayoutView="100" zoomScalePageLayoutView="0" workbookViewId="0" topLeftCell="A1">
      <selection activeCell="L2" sqref="L2"/>
    </sheetView>
  </sheetViews>
  <sheetFormatPr defaultColWidth="11.421875" defaultRowHeight="12.75"/>
  <cols>
    <col min="1" max="1" width="3.28125" style="1" customWidth="1"/>
    <col min="2" max="2" width="6.7109375" style="1" customWidth="1"/>
    <col min="3" max="3" width="3.7109375" style="2" customWidth="1"/>
    <col min="4" max="4" width="4.140625" style="2" customWidth="1"/>
    <col min="5" max="5" width="1.7109375" style="0" customWidth="1"/>
    <col min="6" max="18" width="5.7109375" style="0" customWidth="1"/>
    <col min="19" max="19" width="1.7109375" style="0" customWidth="1"/>
    <col min="20" max="20" width="1.1484375" style="0" customWidth="1"/>
    <col min="21" max="22" width="8.7109375" style="7" customWidth="1"/>
    <col min="23" max="23" width="16.00390625" style="7" customWidth="1"/>
    <col min="24" max="24" width="17.140625" style="7" bestFit="1" customWidth="1"/>
    <col min="25" max="25" width="8.7109375" style="7" customWidth="1"/>
    <col min="26" max="26" width="15.421875" style="7" bestFit="1" customWidth="1"/>
    <col min="27" max="27" width="21.421875" style="7" bestFit="1" customWidth="1"/>
    <col min="28" max="29" width="8.7109375" style="7" customWidth="1"/>
    <col min="30" max="30" width="10.421875" style="7" customWidth="1"/>
    <col min="31" max="31" width="8.7109375" style="0" customWidth="1"/>
  </cols>
  <sheetData>
    <row r="1" spans="1:18" ht="15.75">
      <c r="A1" s="112"/>
      <c r="B1" s="112"/>
      <c r="C1" s="125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55"/>
      <c r="P1" s="155"/>
      <c r="Q1" s="155"/>
      <c r="R1" s="155"/>
    </row>
    <row r="2" spans="1:31" ht="20.25">
      <c r="A2" s="128"/>
      <c r="B2" s="81"/>
      <c r="C2" s="13"/>
      <c r="D2" s="82"/>
      <c r="E2" s="5"/>
      <c r="F2" s="5"/>
      <c r="M2" s="153" t="s">
        <v>48</v>
      </c>
      <c r="N2" s="153"/>
      <c r="O2" s="153"/>
      <c r="P2" s="153"/>
      <c r="Q2" s="153"/>
      <c r="R2" s="153"/>
      <c r="U2" s="95" t="s">
        <v>79</v>
      </c>
      <c r="V2" s="96"/>
      <c r="W2" s="96"/>
      <c r="X2" s="96"/>
      <c r="Y2" s="96"/>
      <c r="Z2" s="96"/>
      <c r="AA2" s="96"/>
      <c r="AB2" s="96"/>
      <c r="AC2" s="96"/>
      <c r="AD2" s="97"/>
      <c r="AE2" s="98"/>
    </row>
    <row r="3" spans="1:31" ht="13.5" thickBot="1">
      <c r="A3" s="25"/>
      <c r="B3" s="25"/>
      <c r="C3" s="26"/>
      <c r="D3" s="26"/>
      <c r="E3" s="6"/>
      <c r="F3" s="6"/>
      <c r="G3" s="6"/>
      <c r="H3" s="6"/>
      <c r="I3" s="6"/>
      <c r="J3" s="6"/>
      <c r="K3" s="6"/>
      <c r="L3" s="6"/>
      <c r="M3" s="154" t="s">
        <v>49</v>
      </c>
      <c r="N3" s="154"/>
      <c r="O3" s="154"/>
      <c r="P3" s="154"/>
      <c r="Q3" s="154"/>
      <c r="R3" s="154"/>
      <c r="U3" s="99"/>
      <c r="V3" s="100"/>
      <c r="W3" s="100"/>
      <c r="X3" s="100"/>
      <c r="Y3" s="100"/>
      <c r="Z3" s="100"/>
      <c r="AA3" s="100"/>
      <c r="AB3" s="100"/>
      <c r="AC3" s="100"/>
      <c r="AD3" s="101"/>
      <c r="AE3" s="98"/>
    </row>
    <row r="4" spans="21:31" ht="12.75">
      <c r="U4" s="99" t="s">
        <v>0</v>
      </c>
      <c r="V4" s="102">
        <f>Q107</f>
        <v>1.3</v>
      </c>
      <c r="W4" s="100"/>
      <c r="X4" s="100" t="s">
        <v>80</v>
      </c>
      <c r="Y4" s="102">
        <f>Q86/Q101</f>
        <v>1.2068</v>
      </c>
      <c r="Z4" s="100"/>
      <c r="AA4" s="100" t="s">
        <v>82</v>
      </c>
      <c r="AB4" s="100">
        <f>R15+(AB8/2)</f>
        <v>1.2</v>
      </c>
      <c r="AC4" s="100"/>
      <c r="AD4" s="101"/>
      <c r="AE4" s="98"/>
    </row>
    <row r="5" spans="1:31" ht="12.75">
      <c r="A5" s="71">
        <v>1</v>
      </c>
      <c r="B5" s="129">
        <v>1.2</v>
      </c>
      <c r="C5" s="72" t="str">
        <f>IF(OR(B5&lt;$AB$6,B5&gt;$AB$7),"----","OK")</f>
        <v>OK</v>
      </c>
      <c r="D5" s="72" t="str">
        <f>IF(OR(N83=0,AND(B5&gt;=$AB$6,B5&lt;=$AB$7)),"-----","NOK")</f>
        <v>-----</v>
      </c>
      <c r="H5" s="3" t="s">
        <v>50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U5" s="99" t="s">
        <v>1</v>
      </c>
      <c r="V5" s="102">
        <f>Q112</f>
        <v>1.2</v>
      </c>
      <c r="W5" s="100"/>
      <c r="X5" s="100" t="s">
        <v>81</v>
      </c>
      <c r="Y5" s="141">
        <f>P154</f>
        <v>0.016178998732925356</v>
      </c>
      <c r="Z5" s="100"/>
      <c r="AA5" s="100" t="s">
        <v>83</v>
      </c>
      <c r="AB5" s="100">
        <f>AB8/(6*1.67)</f>
        <v>0.039920159680638716</v>
      </c>
      <c r="AC5" s="100"/>
      <c r="AD5" s="101"/>
      <c r="AE5" s="98"/>
    </row>
    <row r="6" spans="1:31" ht="12.75">
      <c r="A6" s="24">
        <v>2</v>
      </c>
      <c r="B6" s="129">
        <v>1.3</v>
      </c>
      <c r="C6" s="72" t="str">
        <f aca="true" t="shared" si="0" ref="C6:C54">IF(OR(B6&lt;$AB$6,B6&gt;$AB$7),"----","OK")</f>
        <v>OK</v>
      </c>
      <c r="D6" s="72" t="str">
        <f aca="true" t="shared" si="1" ref="D6:D54">IF(OR(N84=0,AND(B6&gt;=$AB$6,B6&lt;=$AB$7)),"-----","NOK")</f>
        <v>-----</v>
      </c>
      <c r="H6" s="3" t="s">
        <v>51</v>
      </c>
      <c r="I6" s="146"/>
      <c r="J6" s="146"/>
      <c r="K6" s="146"/>
      <c r="L6" s="146"/>
      <c r="N6" s="3" t="s">
        <v>52</v>
      </c>
      <c r="O6" s="146"/>
      <c r="P6" s="146"/>
      <c r="Q6" s="146"/>
      <c r="R6" s="146"/>
      <c r="U6" s="99" t="s">
        <v>2</v>
      </c>
      <c r="V6" s="102">
        <f>V4-V5</f>
        <v>0.10000000000000009</v>
      </c>
      <c r="W6" s="100"/>
      <c r="X6" s="100"/>
      <c r="Y6" s="100">
        <f>SQRT(($Q$94/($Q$101-1)))</f>
        <v>0.00605162971621881</v>
      </c>
      <c r="Z6" s="100"/>
      <c r="AA6" s="100" t="s">
        <v>84</v>
      </c>
      <c r="AB6" s="100">
        <f>R15</f>
        <v>1</v>
      </c>
      <c r="AC6" s="100"/>
      <c r="AD6" s="101"/>
      <c r="AE6" s="98"/>
    </row>
    <row r="7" spans="1:31" ht="12.75">
      <c r="A7" s="24">
        <v>3</v>
      </c>
      <c r="B7" s="129">
        <v>1.2</v>
      </c>
      <c r="C7" s="72" t="str">
        <f t="shared" si="0"/>
        <v>OK</v>
      </c>
      <c r="D7" s="72" t="str">
        <f t="shared" si="1"/>
        <v>-----</v>
      </c>
      <c r="U7" s="99"/>
      <c r="V7" s="100"/>
      <c r="W7" s="100"/>
      <c r="X7" s="100"/>
      <c r="Y7" s="100"/>
      <c r="Z7" s="100"/>
      <c r="AA7" s="100" t="s">
        <v>85</v>
      </c>
      <c r="AB7" s="100">
        <f>R14</f>
        <v>1.4</v>
      </c>
      <c r="AC7" s="100"/>
      <c r="AD7" s="101"/>
      <c r="AE7" s="98"/>
    </row>
    <row r="8" spans="1:31" ht="12.75">
      <c r="A8" s="24">
        <v>4</v>
      </c>
      <c r="B8" s="129">
        <v>1.2</v>
      </c>
      <c r="C8" s="72" t="str">
        <f t="shared" si="0"/>
        <v>OK</v>
      </c>
      <c r="D8" s="72" t="str">
        <f t="shared" si="1"/>
        <v>-----</v>
      </c>
      <c r="H8" s="3" t="s">
        <v>53</v>
      </c>
      <c r="I8" s="145"/>
      <c r="J8" s="145"/>
      <c r="K8" s="145"/>
      <c r="L8" s="145"/>
      <c r="M8" s="145"/>
      <c r="N8" s="145"/>
      <c r="O8" s="145"/>
      <c r="P8" s="145"/>
      <c r="Q8" s="145"/>
      <c r="R8" s="145"/>
      <c r="U8" s="99"/>
      <c r="V8" s="100"/>
      <c r="W8" s="100"/>
      <c r="X8" s="100"/>
      <c r="Y8" s="100"/>
      <c r="Z8" s="100"/>
      <c r="AA8" s="100" t="s">
        <v>86</v>
      </c>
      <c r="AB8" s="100">
        <f>R14-R15</f>
        <v>0.3999999999999999</v>
      </c>
      <c r="AC8" s="100"/>
      <c r="AD8" s="101"/>
      <c r="AE8" s="98"/>
    </row>
    <row r="9" spans="1:31" ht="12.75">
      <c r="A9" s="66">
        <v>5</v>
      </c>
      <c r="B9" s="129">
        <v>1.2</v>
      </c>
      <c r="C9" s="72" t="str">
        <f t="shared" si="0"/>
        <v>OK</v>
      </c>
      <c r="D9" s="72" t="str">
        <f t="shared" si="1"/>
        <v>-----</v>
      </c>
      <c r="H9" s="3" t="s">
        <v>54</v>
      </c>
      <c r="I9" s="147"/>
      <c r="J9" s="147"/>
      <c r="K9" s="147"/>
      <c r="L9" s="147"/>
      <c r="N9" s="3" t="s">
        <v>55</v>
      </c>
      <c r="O9" s="148"/>
      <c r="P9" s="148"/>
      <c r="Q9" s="148"/>
      <c r="R9" s="148"/>
      <c r="U9" s="99"/>
      <c r="V9" s="100"/>
      <c r="W9" s="100"/>
      <c r="X9" s="100"/>
      <c r="Y9" s="100"/>
      <c r="Z9" s="100"/>
      <c r="AA9" s="103" t="s">
        <v>87</v>
      </c>
      <c r="AB9" s="100">
        <f>O16*V15</f>
        <v>0.12910840988874434</v>
      </c>
      <c r="AC9" s="100"/>
      <c r="AD9" s="101"/>
      <c r="AE9" s="98"/>
    </row>
    <row r="10" spans="1:31" ht="12.75">
      <c r="A10" s="24">
        <v>6</v>
      </c>
      <c r="B10" s="129">
        <v>1.2</v>
      </c>
      <c r="C10" s="72" t="str">
        <f t="shared" si="0"/>
        <v>OK</v>
      </c>
      <c r="D10" s="72" t="str">
        <f t="shared" si="1"/>
        <v>-----</v>
      </c>
      <c r="U10" s="104"/>
      <c r="V10" s="105"/>
      <c r="W10" s="105"/>
      <c r="X10" s="105"/>
      <c r="Y10" s="105"/>
      <c r="Z10" s="105"/>
      <c r="AA10" s="106" t="s">
        <v>88</v>
      </c>
      <c r="AB10" s="105">
        <f>AB9/2</f>
        <v>0.06455420494437217</v>
      </c>
      <c r="AC10" s="105"/>
      <c r="AD10" s="107"/>
      <c r="AE10" s="98"/>
    </row>
    <row r="11" spans="1:31" ht="12.75">
      <c r="A11" s="24">
        <v>7</v>
      </c>
      <c r="B11" s="129">
        <v>1.2</v>
      </c>
      <c r="C11" s="72" t="str">
        <f t="shared" si="0"/>
        <v>OK</v>
      </c>
      <c r="D11" s="72" t="str">
        <f t="shared" si="1"/>
        <v>-----</v>
      </c>
      <c r="H11" s="3" t="s">
        <v>56</v>
      </c>
      <c r="I11" s="151"/>
      <c r="J11" s="151"/>
      <c r="K11" s="151"/>
      <c r="L11" s="151"/>
      <c r="N11" s="3" t="s">
        <v>58</v>
      </c>
      <c r="O11" s="156"/>
      <c r="P11" s="156"/>
      <c r="Q11" s="156"/>
      <c r="R11" s="156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 spans="1:31" ht="12.75">
      <c r="A12" s="24">
        <v>8</v>
      </c>
      <c r="B12" s="129">
        <v>1.2</v>
      </c>
      <c r="C12" s="72" t="str">
        <f t="shared" si="0"/>
        <v>OK</v>
      </c>
      <c r="D12" s="72" t="str">
        <f t="shared" si="1"/>
        <v>-----</v>
      </c>
      <c r="H12" s="3" t="s">
        <v>57</v>
      </c>
      <c r="I12" s="148"/>
      <c r="J12" s="148"/>
      <c r="K12" s="148"/>
      <c r="L12" s="148"/>
      <c r="N12" s="3" t="s">
        <v>59</v>
      </c>
      <c r="O12" s="152"/>
      <c r="P12" s="152"/>
      <c r="Q12" s="152"/>
      <c r="R12" s="152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</row>
    <row r="13" spans="1:31" ht="12.75">
      <c r="A13" s="24">
        <v>9</v>
      </c>
      <c r="B13" s="129">
        <v>1.21</v>
      </c>
      <c r="C13" s="72" t="str">
        <f t="shared" si="0"/>
        <v>OK</v>
      </c>
      <c r="D13" s="72" t="str">
        <f t="shared" si="1"/>
        <v>-----</v>
      </c>
      <c r="U13" s="95" t="s">
        <v>89</v>
      </c>
      <c r="V13" s="96"/>
      <c r="W13" s="96"/>
      <c r="X13" s="96"/>
      <c r="Y13" s="96"/>
      <c r="Z13" s="96" t="s">
        <v>133</v>
      </c>
      <c r="AA13" s="96">
        <f>O16</f>
        <v>1.33</v>
      </c>
      <c r="AB13" s="96"/>
      <c r="AC13" s="96"/>
      <c r="AD13" s="97"/>
      <c r="AE13" s="100"/>
    </row>
    <row r="14" spans="1:31" ht="12.75">
      <c r="A14" s="66">
        <v>10</v>
      </c>
      <c r="B14" s="129">
        <v>1.2</v>
      </c>
      <c r="C14" s="72" t="str">
        <f t="shared" si="0"/>
        <v>OK</v>
      </c>
      <c r="D14" s="72" t="str">
        <f t="shared" si="1"/>
        <v>-----</v>
      </c>
      <c r="H14" s="3" t="s">
        <v>60</v>
      </c>
      <c r="I14" s="149"/>
      <c r="J14" s="149"/>
      <c r="K14" s="149"/>
      <c r="L14" s="149"/>
      <c r="N14" s="3" t="s">
        <v>124</v>
      </c>
      <c r="O14" s="133">
        <v>1.2</v>
      </c>
      <c r="Q14" s="3" t="s">
        <v>63</v>
      </c>
      <c r="R14" s="134">
        <v>1.4</v>
      </c>
      <c r="U14" s="99"/>
      <c r="V14" s="100"/>
      <c r="W14" s="100"/>
      <c r="X14" s="100"/>
      <c r="Y14" s="100"/>
      <c r="Z14" s="100"/>
      <c r="AA14" s="100"/>
      <c r="AB14" s="100"/>
      <c r="AC14" s="100"/>
      <c r="AD14" s="101"/>
      <c r="AE14" s="100"/>
    </row>
    <row r="15" spans="1:31" ht="12.75">
      <c r="A15" s="24">
        <v>11</v>
      </c>
      <c r="B15" s="129">
        <v>1.2</v>
      </c>
      <c r="C15" s="72" t="str">
        <f t="shared" si="0"/>
        <v>OK</v>
      </c>
      <c r="D15" s="72" t="str">
        <f t="shared" si="1"/>
        <v>-----</v>
      </c>
      <c r="G15" s="82"/>
      <c r="H15" s="85" t="s">
        <v>61</v>
      </c>
      <c r="I15" s="150"/>
      <c r="J15" s="146"/>
      <c r="K15" s="146"/>
      <c r="L15" s="146"/>
      <c r="N15" s="3" t="s">
        <v>62</v>
      </c>
      <c r="O15" s="132" t="s">
        <v>142</v>
      </c>
      <c r="Q15" s="3" t="s">
        <v>64</v>
      </c>
      <c r="R15" s="135">
        <v>1</v>
      </c>
      <c r="S15" s="4"/>
      <c r="U15" s="99" t="s">
        <v>3</v>
      </c>
      <c r="V15" s="108">
        <f>6*Y5</f>
        <v>0.09707399239755213</v>
      </c>
      <c r="W15" s="100" t="s">
        <v>4</v>
      </c>
      <c r="X15" s="102">
        <f>AB7-Y4</f>
        <v>0.19319999999999982</v>
      </c>
      <c r="Y15" s="100"/>
      <c r="Z15" s="100" t="s">
        <v>127</v>
      </c>
      <c r="AA15" s="102">
        <f>IF($Y$5=0,"-----",AB8/V15)</f>
        <v>4.120568136951237</v>
      </c>
      <c r="AB15" s="100"/>
      <c r="AC15" s="100" t="s">
        <v>130</v>
      </c>
      <c r="AD15" s="101" t="str">
        <f>IF(AA15&lt;AA13,"no capable","capable")</f>
        <v>capable</v>
      </c>
      <c r="AE15" s="100"/>
    </row>
    <row r="16" spans="1:31" ht="13.5" thickBot="1">
      <c r="A16" s="24">
        <v>12</v>
      </c>
      <c r="B16" s="129">
        <v>1.21</v>
      </c>
      <c r="C16" s="72" t="str">
        <f t="shared" si="0"/>
        <v>OK</v>
      </c>
      <c r="D16" s="72" t="str">
        <f t="shared" si="1"/>
        <v>-----</v>
      </c>
      <c r="F16" s="6"/>
      <c r="G16" s="6"/>
      <c r="H16" s="6"/>
      <c r="I16" s="62"/>
      <c r="J16" s="6"/>
      <c r="K16" s="6"/>
      <c r="L16" s="6"/>
      <c r="M16" s="6"/>
      <c r="N16" s="45" t="s">
        <v>65</v>
      </c>
      <c r="O16" s="137">
        <v>1.33</v>
      </c>
      <c r="P16" s="143" t="s">
        <v>134</v>
      </c>
      <c r="Q16" s="144"/>
      <c r="R16" s="136">
        <v>0.2</v>
      </c>
      <c r="U16" s="99" t="s">
        <v>5</v>
      </c>
      <c r="V16" s="108">
        <f>3*Y5</f>
        <v>0.048536996198776064</v>
      </c>
      <c r="W16" s="100" t="s">
        <v>90</v>
      </c>
      <c r="X16" s="102">
        <f>Y4-AB6</f>
        <v>0.2068000000000001</v>
      </c>
      <c r="Y16" s="100"/>
      <c r="Z16" s="100" t="s">
        <v>128</v>
      </c>
      <c r="AA16" s="102">
        <f>IF($Y$5=0,"-----",X15/V16)</f>
        <v>3.980468820294892</v>
      </c>
      <c r="AB16" s="100"/>
      <c r="AC16" s="100" t="s">
        <v>132</v>
      </c>
      <c r="AD16" s="101" t="str">
        <f>IF(AA16&lt;AA13,"no capable","capable")</f>
        <v>capable</v>
      </c>
      <c r="AE16" s="100"/>
    </row>
    <row r="17" spans="1:31" ht="12.75">
      <c r="A17" s="24">
        <v>13</v>
      </c>
      <c r="B17" s="129">
        <v>1.2</v>
      </c>
      <c r="C17" s="72" t="str">
        <f t="shared" si="0"/>
        <v>OK</v>
      </c>
      <c r="D17" s="72" t="str">
        <f t="shared" si="1"/>
        <v>-----</v>
      </c>
      <c r="U17" s="99"/>
      <c r="V17" s="100"/>
      <c r="W17" s="100"/>
      <c r="X17" s="100"/>
      <c r="Y17" s="100"/>
      <c r="Z17" s="100" t="s">
        <v>129</v>
      </c>
      <c r="AA17" s="102">
        <f>IF($Y$5=0,"-----",X16/V16)</f>
        <v>4.2606674536075815</v>
      </c>
      <c r="AB17" s="100"/>
      <c r="AC17" s="100" t="s">
        <v>131</v>
      </c>
      <c r="AD17" s="101" t="str">
        <f>IF(AA17&lt;AA13,"no capable","capable")</f>
        <v>capable</v>
      </c>
      <c r="AE17" s="100"/>
    </row>
    <row r="18" spans="1:31" ht="12.75">
      <c r="A18" s="24">
        <v>14</v>
      </c>
      <c r="B18" s="129">
        <v>1.2</v>
      </c>
      <c r="C18" s="72" t="str">
        <f t="shared" si="0"/>
        <v>OK</v>
      </c>
      <c r="D18" s="72" t="str">
        <f t="shared" si="1"/>
        <v>-----</v>
      </c>
      <c r="F18" s="69" t="s">
        <v>66</v>
      </c>
      <c r="G18" s="69" t="s">
        <v>68</v>
      </c>
      <c r="H18" s="73" t="s">
        <v>68</v>
      </c>
      <c r="I18" s="74" t="s">
        <v>6</v>
      </c>
      <c r="J18" s="74" t="s">
        <v>7</v>
      </c>
      <c r="Q18" s="18" t="s">
        <v>8</v>
      </c>
      <c r="R18" s="19">
        <f aca="true" t="shared" si="2" ref="R18:R30">V25</f>
        <v>1.109726007602448</v>
      </c>
      <c r="U18" s="99" t="s">
        <v>91</v>
      </c>
      <c r="V18" s="100" t="str">
        <f>IF(OR(AA15&lt;AA13,AA16&lt;AA13,AA17&lt;AA13),"no capable","capable")</f>
        <v>capable</v>
      </c>
      <c r="W18" s="100"/>
      <c r="X18" s="100"/>
      <c r="Y18" s="100"/>
      <c r="Z18" s="100"/>
      <c r="AA18" s="100" t="str">
        <f>IF(OR(AA16&lt;AA13,AA17&lt;AA13),"no capable","capable")</f>
        <v>capable</v>
      </c>
      <c r="AB18" s="100"/>
      <c r="AC18" s="100"/>
      <c r="AD18" s="101"/>
      <c r="AE18" s="100"/>
    </row>
    <row r="19" spans="1:31" ht="12.75">
      <c r="A19" s="66">
        <v>15</v>
      </c>
      <c r="B19" s="129">
        <v>1.2</v>
      </c>
      <c r="C19" s="72" t="str">
        <f t="shared" si="0"/>
        <v>OK</v>
      </c>
      <c r="D19" s="72" t="str">
        <f t="shared" si="1"/>
        <v>-----</v>
      </c>
      <c r="F19" s="70" t="s">
        <v>67</v>
      </c>
      <c r="G19" s="70" t="s">
        <v>69</v>
      </c>
      <c r="H19" s="70" t="s">
        <v>70</v>
      </c>
      <c r="I19" s="75"/>
      <c r="J19" s="75"/>
      <c r="Q19" s="20" t="s">
        <v>9</v>
      </c>
      <c r="R19" s="21">
        <f t="shared" si="2"/>
        <v>1.1259050063353733</v>
      </c>
      <c r="U19" s="104" t="s">
        <v>91</v>
      </c>
      <c r="V19" s="105"/>
      <c r="W19" s="105"/>
      <c r="X19" s="105" t="s">
        <v>92</v>
      </c>
      <c r="Y19" s="105"/>
      <c r="Z19" s="105"/>
      <c r="AA19" s="105">
        <f>IF(AA16&lt;AA17,AA16,AA17)</f>
        <v>3.980468820294892</v>
      </c>
      <c r="AB19" s="105"/>
      <c r="AC19" s="105"/>
      <c r="AD19" s="107"/>
      <c r="AE19" s="100"/>
    </row>
    <row r="20" spans="1:31" ht="12.75">
      <c r="A20" s="24">
        <v>16</v>
      </c>
      <c r="B20" s="129">
        <v>1.22</v>
      </c>
      <c r="C20" s="72" t="str">
        <f t="shared" si="0"/>
        <v>OK</v>
      </c>
      <c r="D20" s="72" t="str">
        <f t="shared" si="1"/>
        <v>-----</v>
      </c>
      <c r="F20" s="68"/>
      <c r="G20" s="68"/>
      <c r="H20" s="67"/>
      <c r="I20" s="76"/>
      <c r="J20" s="76"/>
      <c r="Q20" s="20" t="s">
        <v>10</v>
      </c>
      <c r="R20" s="21">
        <f t="shared" si="2"/>
        <v>1.1420840050682988</v>
      </c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</row>
    <row r="21" spans="1:31" ht="12.75">
      <c r="A21" s="24">
        <v>17</v>
      </c>
      <c r="B21" s="129">
        <v>1.2</v>
      </c>
      <c r="C21" s="72" t="str">
        <f t="shared" si="0"/>
        <v>OK</v>
      </c>
      <c r="D21" s="72" t="str">
        <f t="shared" si="1"/>
        <v>-----</v>
      </c>
      <c r="F21" s="77" t="s">
        <v>11</v>
      </c>
      <c r="G21" s="138" t="s">
        <v>143</v>
      </c>
      <c r="H21" s="139" t="s">
        <v>135</v>
      </c>
      <c r="I21" s="122">
        <f>IF(S155&gt;0.9,N83,"     -----")</f>
        <v>1.2200000000000002</v>
      </c>
      <c r="J21" s="140">
        <f>IF(S155&gt;0.9,N151,"     -----")</f>
        <v>0.044721359549995836</v>
      </c>
      <c r="Q21" s="20" t="s">
        <v>12</v>
      </c>
      <c r="R21" s="21">
        <f t="shared" si="2"/>
        <v>1.158263003801224</v>
      </c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</row>
    <row r="22" spans="1:31" ht="12.75">
      <c r="A22" s="24">
        <v>18</v>
      </c>
      <c r="B22" s="129">
        <v>1.2</v>
      </c>
      <c r="C22" s="72" t="str">
        <f t="shared" si="0"/>
        <v>OK</v>
      </c>
      <c r="D22" s="72" t="str">
        <f t="shared" si="1"/>
        <v>-----</v>
      </c>
      <c r="F22" s="77" t="s">
        <v>13</v>
      </c>
      <c r="G22" s="138" t="s">
        <v>143</v>
      </c>
      <c r="H22" s="139" t="s">
        <v>125</v>
      </c>
      <c r="I22" s="122">
        <f>IF(S155&gt;1.9,N84,"     -----")</f>
        <v>1.202</v>
      </c>
      <c r="J22" s="123">
        <f>IF(S155&gt;1.9,N152,"     -----")</f>
        <v>0.004472135954999583</v>
      </c>
      <c r="Q22" s="20" t="s">
        <v>14</v>
      </c>
      <c r="R22" s="21">
        <f t="shared" si="2"/>
        <v>1.1744420025341493</v>
      </c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</row>
    <row r="23" spans="1:31" ht="12.75">
      <c r="A23" s="24">
        <v>19</v>
      </c>
      <c r="B23" s="129">
        <v>1.2</v>
      </c>
      <c r="C23" s="72" t="str">
        <f t="shared" si="0"/>
        <v>OK</v>
      </c>
      <c r="D23" s="72" t="str">
        <f t="shared" si="1"/>
        <v>-----</v>
      </c>
      <c r="F23" s="77" t="s">
        <v>15</v>
      </c>
      <c r="G23" s="138" t="s">
        <v>143</v>
      </c>
      <c r="H23" s="139" t="s">
        <v>125</v>
      </c>
      <c r="I23" s="122">
        <f>IF(S155&gt;2.9,N85,"     -----")</f>
        <v>1.2020000000000002</v>
      </c>
      <c r="J23" s="123">
        <f>IF(S155&gt;2.9,N153,"     -----")</f>
        <v>0.004472135954999583</v>
      </c>
      <c r="Q23" s="20" t="s">
        <v>16</v>
      </c>
      <c r="R23" s="21">
        <f t="shared" si="2"/>
        <v>1.1906210012670748</v>
      </c>
      <c r="U23" s="109" t="s">
        <v>93</v>
      </c>
      <c r="V23" s="96"/>
      <c r="W23" s="97"/>
      <c r="X23" s="98"/>
      <c r="Y23" s="109" t="s">
        <v>94</v>
      </c>
      <c r="Z23" s="96"/>
      <c r="AA23" s="96"/>
      <c r="AB23" s="96"/>
      <c r="AC23" s="97"/>
      <c r="AD23" s="98"/>
      <c r="AE23" s="98"/>
    </row>
    <row r="24" spans="1:31" ht="12.75">
      <c r="A24" s="66">
        <v>20</v>
      </c>
      <c r="B24" s="129">
        <v>1.2</v>
      </c>
      <c r="C24" s="72" t="str">
        <f t="shared" si="0"/>
        <v>OK</v>
      </c>
      <c r="D24" s="72" t="str">
        <f t="shared" si="1"/>
        <v>-----</v>
      </c>
      <c r="F24" s="77" t="s">
        <v>17</v>
      </c>
      <c r="G24" s="138" t="s">
        <v>143</v>
      </c>
      <c r="H24" s="139" t="s">
        <v>136</v>
      </c>
      <c r="I24" s="122">
        <f>IF(S155&gt;3.9,N86,"     -----")</f>
        <v>1.2040000000000002</v>
      </c>
      <c r="J24" s="123">
        <f>IF(S155&gt;3.9,N154,"     -----")</f>
        <v>0.008944271909999166</v>
      </c>
      <c r="Q24" s="20" t="s">
        <v>18</v>
      </c>
      <c r="R24" s="21">
        <f t="shared" si="2"/>
        <v>1.2068</v>
      </c>
      <c r="U24" s="99"/>
      <c r="V24" s="100"/>
      <c r="W24" s="101"/>
      <c r="X24" s="98"/>
      <c r="Y24" s="99"/>
      <c r="Z24" s="100" t="s">
        <v>95</v>
      </c>
      <c r="AA24" s="100" t="s">
        <v>96</v>
      </c>
      <c r="AB24" s="100"/>
      <c r="AC24" s="101"/>
      <c r="AD24" s="98"/>
      <c r="AE24" s="98"/>
    </row>
    <row r="25" spans="1:31" ht="12.75">
      <c r="A25" s="24">
        <v>21</v>
      </c>
      <c r="B25" s="129">
        <v>1.2</v>
      </c>
      <c r="C25" s="72" t="str">
        <f t="shared" si="0"/>
        <v>OK</v>
      </c>
      <c r="D25" s="72" t="str">
        <f t="shared" si="1"/>
        <v>-----</v>
      </c>
      <c r="F25" s="77" t="s">
        <v>20</v>
      </c>
      <c r="G25" s="138" t="s">
        <v>143</v>
      </c>
      <c r="H25" s="139" t="s">
        <v>137</v>
      </c>
      <c r="I25" s="122">
        <f>IF(S155&gt;4.9,N87,"     -----")</f>
        <v>1.202</v>
      </c>
      <c r="J25" s="140">
        <f>IF(S155&gt;4.9,N155,"     -----")</f>
        <v>0.004472135954999583</v>
      </c>
      <c r="Q25" s="20" t="s">
        <v>21</v>
      </c>
      <c r="R25" s="21">
        <f t="shared" si="2"/>
        <v>1.2229789987329254</v>
      </c>
      <c r="U25" s="99" t="s">
        <v>8</v>
      </c>
      <c r="V25" s="102">
        <f>IF($Y$5=0,$Y$4-6*$AB$5,$Y$4-6*$Y$5)</f>
        <v>1.109726007602448</v>
      </c>
      <c r="W25" s="101">
        <f aca="true" t="shared" si="3" ref="W25:W38">V25-($Y$5/1000)</f>
        <v>1.109709828603715</v>
      </c>
      <c r="X25" s="98"/>
      <c r="Y25" s="99"/>
      <c r="Z25" s="100"/>
      <c r="AA25" s="100">
        <f>FREQUENCY($N$83:$N$92,W25)</f>
        <v>0</v>
      </c>
      <c r="AB25" s="100"/>
      <c r="AC25" s="101"/>
      <c r="AD25" s="98"/>
      <c r="AE25" s="98"/>
    </row>
    <row r="26" spans="1:31" ht="12.75">
      <c r="A26" s="24">
        <v>22</v>
      </c>
      <c r="B26" s="129">
        <v>1.2</v>
      </c>
      <c r="C26" s="72" t="str">
        <f t="shared" si="0"/>
        <v>OK</v>
      </c>
      <c r="D26" s="72" t="str">
        <f t="shared" si="1"/>
        <v>-----</v>
      </c>
      <c r="F26" s="77" t="s">
        <v>22</v>
      </c>
      <c r="G26" s="138" t="s">
        <v>143</v>
      </c>
      <c r="H26" s="139" t="s">
        <v>138</v>
      </c>
      <c r="I26" s="122">
        <f>IF(S155&gt;5.9,N88,"     -----")</f>
        <v>1.214</v>
      </c>
      <c r="J26" s="123">
        <f>IF(S155&gt;5.9,N156,"     -----")</f>
        <v>0.01341640786499875</v>
      </c>
      <c r="Q26" s="20" t="s">
        <v>23</v>
      </c>
      <c r="R26" s="21">
        <f t="shared" si="2"/>
        <v>1.2391579974658509</v>
      </c>
      <c r="U26" s="99" t="s">
        <v>9</v>
      </c>
      <c r="V26" s="102">
        <f>IF($Y$5=0,$Y$4-5*$AB$5,$Y$4-5*$Y$5)</f>
        <v>1.1259050063353733</v>
      </c>
      <c r="W26" s="101">
        <f t="shared" si="3"/>
        <v>1.1258888273366403</v>
      </c>
      <c r="X26" s="98"/>
      <c r="Y26" s="99" t="s">
        <v>8</v>
      </c>
      <c r="Z26" s="100">
        <f aca="true" t="shared" si="4" ref="Z26:Z32">AA26-AA25</f>
        <v>0</v>
      </c>
      <c r="AA26" s="100">
        <f>FREQUENCY($N$83:$N$92,W26)</f>
        <v>0</v>
      </c>
      <c r="AB26" s="100"/>
      <c r="AC26" s="101"/>
      <c r="AD26" s="98"/>
      <c r="AE26" s="98"/>
    </row>
    <row r="27" spans="1:31" ht="12.75">
      <c r="A27" s="24">
        <v>23</v>
      </c>
      <c r="B27" s="129">
        <v>1.2</v>
      </c>
      <c r="C27" s="72" t="str">
        <f t="shared" si="0"/>
        <v>OK</v>
      </c>
      <c r="D27" s="72" t="str">
        <f t="shared" si="1"/>
        <v>-----</v>
      </c>
      <c r="F27" s="77" t="s">
        <v>24</v>
      </c>
      <c r="G27" s="138" t="s">
        <v>143</v>
      </c>
      <c r="H27" s="139" t="s">
        <v>126</v>
      </c>
      <c r="I27" s="122">
        <f>IF(S155&gt;6.9,N89,"     -----")</f>
        <v>1.204</v>
      </c>
      <c r="J27" s="123">
        <f>IF(S155&gt;6.9,N157,"     -----")</f>
        <v>0.008944271909999168</v>
      </c>
      <c r="Q27" s="20" t="s">
        <v>25</v>
      </c>
      <c r="R27" s="21">
        <f t="shared" si="2"/>
        <v>1.2553369961987761</v>
      </c>
      <c r="U27" s="99" t="s">
        <v>10</v>
      </c>
      <c r="V27" s="102">
        <f>IF($Y$5=0,$Y$4-4*$AB$5,$Y$4-4*$Y$5)</f>
        <v>1.1420840050682988</v>
      </c>
      <c r="W27" s="101">
        <f t="shared" si="3"/>
        <v>1.1420678260695658</v>
      </c>
      <c r="X27" s="98"/>
      <c r="Y27" s="99" t="s">
        <v>9</v>
      </c>
      <c r="Z27" s="100">
        <f t="shared" si="4"/>
        <v>0</v>
      </c>
      <c r="AA27" s="100">
        <f aca="true" t="shared" si="5" ref="AA27:AA37">FREQUENCY($N$83:$N$92,W27)</f>
        <v>0</v>
      </c>
      <c r="AB27" s="100"/>
      <c r="AC27" s="101"/>
      <c r="AD27" s="98"/>
      <c r="AE27" s="98"/>
    </row>
    <row r="28" spans="1:31" ht="12.75">
      <c r="A28" s="24">
        <v>24</v>
      </c>
      <c r="B28" s="130">
        <v>1.21</v>
      </c>
      <c r="C28" s="72" t="str">
        <f t="shared" si="0"/>
        <v>OK</v>
      </c>
      <c r="D28" s="72" t="str">
        <f t="shared" si="1"/>
        <v>-----</v>
      </c>
      <c r="F28" s="77" t="s">
        <v>26</v>
      </c>
      <c r="G28" s="138" t="s">
        <v>143</v>
      </c>
      <c r="H28" s="139" t="s">
        <v>139</v>
      </c>
      <c r="I28" s="122">
        <f>IF(S155&gt;7.9,N90,"     -----")</f>
        <v>1.21</v>
      </c>
      <c r="J28" s="140">
        <f>IF(S155&gt;7.9,N158,"     -----")</f>
        <v>0.014142135623730963</v>
      </c>
      <c r="Q28" s="20" t="s">
        <v>27</v>
      </c>
      <c r="R28" s="21">
        <f t="shared" si="2"/>
        <v>1.2715159949317014</v>
      </c>
      <c r="U28" s="99" t="s">
        <v>12</v>
      </c>
      <c r="V28" s="102">
        <f>IF($Y$5=0,$Y$4-3*$AB$5,$Y$4-3*$Y$5)</f>
        <v>1.158263003801224</v>
      </c>
      <c r="W28" s="101">
        <f t="shared" si="3"/>
        <v>1.158246824802491</v>
      </c>
      <c r="X28" s="98"/>
      <c r="Y28" s="99" t="s">
        <v>10</v>
      </c>
      <c r="Z28" s="100">
        <f t="shared" si="4"/>
        <v>0</v>
      </c>
      <c r="AA28" s="100">
        <f t="shared" si="5"/>
        <v>0</v>
      </c>
      <c r="AB28" s="100"/>
      <c r="AC28" s="101"/>
      <c r="AD28" s="98"/>
      <c r="AE28" s="98"/>
    </row>
    <row r="29" spans="1:31" ht="12.75">
      <c r="A29" s="66">
        <v>25</v>
      </c>
      <c r="B29" s="129">
        <v>1.2</v>
      </c>
      <c r="C29" s="72" t="str">
        <f t="shared" si="0"/>
        <v>OK</v>
      </c>
      <c r="D29" s="72" t="str">
        <f t="shared" si="1"/>
        <v>-----</v>
      </c>
      <c r="F29" s="77" t="s">
        <v>28</v>
      </c>
      <c r="G29" s="138" t="s">
        <v>143</v>
      </c>
      <c r="H29" s="139" t="s">
        <v>140</v>
      </c>
      <c r="I29" s="122">
        <f>IF(S155&gt;8.9,N91,"     -----")</f>
        <v>1.206</v>
      </c>
      <c r="J29" s="140">
        <f>IF(S155&gt;8.9,N159,"     -----")</f>
        <v>0.01341640786499875</v>
      </c>
      <c r="Q29" s="20" t="s">
        <v>29</v>
      </c>
      <c r="R29" s="21">
        <f t="shared" si="2"/>
        <v>1.287694993664627</v>
      </c>
      <c r="U29" s="99" t="s">
        <v>14</v>
      </c>
      <c r="V29" s="102">
        <f>IF($Y$5=0,$Y$4-2*$AB$5,$Y$4-2*$Y$5)</f>
        <v>1.1744420025341493</v>
      </c>
      <c r="W29" s="101">
        <f t="shared" si="3"/>
        <v>1.1744258235354164</v>
      </c>
      <c r="X29" s="98"/>
      <c r="Y29" s="99" t="s">
        <v>12</v>
      </c>
      <c r="Z29" s="100">
        <f t="shared" si="4"/>
        <v>0</v>
      </c>
      <c r="AA29" s="100">
        <f t="shared" si="5"/>
        <v>0</v>
      </c>
      <c r="AB29" s="100"/>
      <c r="AC29" s="101"/>
      <c r="AD29" s="98"/>
      <c r="AE29" s="98"/>
    </row>
    <row r="30" spans="1:31" ht="12.75">
      <c r="A30" s="24">
        <v>26</v>
      </c>
      <c r="B30" s="129">
        <v>1.2</v>
      </c>
      <c r="C30" s="72" t="str">
        <f t="shared" si="0"/>
        <v>OK</v>
      </c>
      <c r="D30" s="72" t="str">
        <f t="shared" si="1"/>
        <v>-----</v>
      </c>
      <c r="F30" s="77" t="s">
        <v>30</v>
      </c>
      <c r="G30" s="138" t="s">
        <v>143</v>
      </c>
      <c r="H30" s="139" t="s">
        <v>141</v>
      </c>
      <c r="I30" s="122">
        <f>IF(S155&gt;9.9,N92,"     -----")</f>
        <v>1.204</v>
      </c>
      <c r="J30" s="140">
        <f>IF(S155&gt;9.9,N160,"     -----")</f>
        <v>0.008944271909999168</v>
      </c>
      <c r="Q30" s="22" t="s">
        <v>31</v>
      </c>
      <c r="R30" s="23">
        <f t="shared" si="2"/>
        <v>1.3038739923975522</v>
      </c>
      <c r="U30" s="99" t="s">
        <v>16</v>
      </c>
      <c r="V30" s="102">
        <f>IF($Y$5=0,$Y$4-$AB$5,$Y$4-$Y$5)</f>
        <v>1.1906210012670748</v>
      </c>
      <c r="W30" s="101">
        <f t="shared" si="3"/>
        <v>1.1906048222683419</v>
      </c>
      <c r="X30" s="98"/>
      <c r="Y30" s="99" t="s">
        <v>14</v>
      </c>
      <c r="Z30" s="100">
        <f t="shared" si="4"/>
        <v>0</v>
      </c>
      <c r="AA30" s="100">
        <f t="shared" si="5"/>
        <v>0</v>
      </c>
      <c r="AB30" s="100"/>
      <c r="AC30" s="101"/>
      <c r="AD30" s="98"/>
      <c r="AE30" s="98"/>
    </row>
    <row r="31" spans="1:31" ht="12.75">
      <c r="A31" s="24">
        <v>27</v>
      </c>
      <c r="B31" s="129">
        <v>1.2</v>
      </c>
      <c r="C31" s="72" t="str">
        <f t="shared" si="0"/>
        <v>OK</v>
      </c>
      <c r="D31" s="72" t="str">
        <f t="shared" si="1"/>
        <v>-----</v>
      </c>
      <c r="U31" s="99" t="s">
        <v>18</v>
      </c>
      <c r="V31" s="102">
        <f>Y4</f>
        <v>1.2068</v>
      </c>
      <c r="W31" s="101">
        <f t="shared" si="3"/>
        <v>1.2067838210012671</v>
      </c>
      <c r="X31" s="98"/>
      <c r="Y31" s="99" t="s">
        <v>16</v>
      </c>
      <c r="Z31" s="100">
        <f t="shared" si="4"/>
        <v>7</v>
      </c>
      <c r="AA31" s="100">
        <f t="shared" si="5"/>
        <v>7</v>
      </c>
      <c r="AB31" s="100"/>
      <c r="AC31" s="101"/>
      <c r="AD31" s="98"/>
      <c r="AE31" s="98"/>
    </row>
    <row r="32" spans="1:31" ht="12.75">
      <c r="A32" s="24">
        <v>28</v>
      </c>
      <c r="B32" s="130">
        <v>1.23</v>
      </c>
      <c r="C32" s="72" t="str">
        <f t="shared" si="0"/>
        <v>OK</v>
      </c>
      <c r="D32" s="72" t="str">
        <f t="shared" si="1"/>
        <v>-----</v>
      </c>
      <c r="U32" s="99" t="s">
        <v>21</v>
      </c>
      <c r="V32" s="102">
        <f>IF($Y$5=0,$Y$4+$AB$5,$Y$4+$Y$5)</f>
        <v>1.2229789987329254</v>
      </c>
      <c r="W32" s="101">
        <f t="shared" si="3"/>
        <v>1.2229628197341924</v>
      </c>
      <c r="X32" s="98"/>
      <c r="Y32" s="99" t="s">
        <v>21</v>
      </c>
      <c r="Z32" s="100">
        <f t="shared" si="4"/>
        <v>3</v>
      </c>
      <c r="AA32" s="100">
        <f t="shared" si="5"/>
        <v>10</v>
      </c>
      <c r="AB32" s="100"/>
      <c r="AC32" s="101"/>
      <c r="AD32" s="98"/>
      <c r="AE32" s="98"/>
    </row>
    <row r="33" spans="1:31" ht="12.75">
      <c r="A33" s="24">
        <v>29</v>
      </c>
      <c r="B33" s="130">
        <v>1.22</v>
      </c>
      <c r="C33" s="72" t="str">
        <f t="shared" si="0"/>
        <v>OK</v>
      </c>
      <c r="D33" s="72" t="str">
        <f t="shared" si="1"/>
        <v>-----</v>
      </c>
      <c r="U33" s="99" t="s">
        <v>23</v>
      </c>
      <c r="V33" s="102">
        <f>IF($Y$5=0,$Y$4+2*$AB$5,$Y$4+2*$Y$5)</f>
        <v>1.2391579974658509</v>
      </c>
      <c r="W33" s="101">
        <f t="shared" si="3"/>
        <v>1.239141818467118</v>
      </c>
      <c r="X33" s="98"/>
      <c r="Y33" s="99" t="s">
        <v>23</v>
      </c>
      <c r="Z33" s="100">
        <f>AA33-AA32</f>
        <v>0</v>
      </c>
      <c r="AA33" s="100">
        <f t="shared" si="5"/>
        <v>10</v>
      </c>
      <c r="AB33" s="100"/>
      <c r="AC33" s="101"/>
      <c r="AD33" s="98"/>
      <c r="AE33" s="98"/>
    </row>
    <row r="34" spans="1:31" ht="12.75">
      <c r="A34" s="66">
        <v>30</v>
      </c>
      <c r="B34" s="131">
        <v>1.22</v>
      </c>
      <c r="C34" s="72" t="str">
        <f t="shared" si="0"/>
        <v>OK</v>
      </c>
      <c r="D34" s="72" t="str">
        <f t="shared" si="1"/>
        <v>-----</v>
      </c>
      <c r="U34" s="99" t="s">
        <v>25</v>
      </c>
      <c r="V34" s="102">
        <f>IF($Y$5=0,$Y$4+3*$AB$5,$Y$4+3*$Y$5)</f>
        <v>1.2553369961987761</v>
      </c>
      <c r="W34" s="101">
        <f t="shared" si="3"/>
        <v>1.2553208172000432</v>
      </c>
      <c r="X34" s="98"/>
      <c r="Y34" s="99" t="s">
        <v>25</v>
      </c>
      <c r="Z34" s="100">
        <f>AA34-AA33</f>
        <v>0</v>
      </c>
      <c r="AA34" s="100">
        <f t="shared" si="5"/>
        <v>10</v>
      </c>
      <c r="AB34" s="100"/>
      <c r="AC34" s="101"/>
      <c r="AD34" s="98"/>
      <c r="AE34" s="98"/>
    </row>
    <row r="35" spans="1:31" ht="12.75">
      <c r="A35" s="24">
        <v>31</v>
      </c>
      <c r="B35" s="129">
        <v>1.2</v>
      </c>
      <c r="C35" s="72" t="str">
        <f t="shared" si="0"/>
        <v>OK</v>
      </c>
      <c r="D35" s="72" t="str">
        <f t="shared" si="1"/>
        <v>-----</v>
      </c>
      <c r="U35" s="99" t="s">
        <v>27</v>
      </c>
      <c r="V35" s="102">
        <f>IF($Y$5=0,$Y$4+4*$AB$5,$Y$4+4*$Y$5)</f>
        <v>1.2715159949317014</v>
      </c>
      <c r="W35" s="101">
        <f t="shared" si="3"/>
        <v>1.2714998159329685</v>
      </c>
      <c r="X35" s="98"/>
      <c r="Y35" s="99" t="s">
        <v>27</v>
      </c>
      <c r="Z35" s="100">
        <f>AA35-AA34</f>
        <v>0</v>
      </c>
      <c r="AA35" s="100">
        <f t="shared" si="5"/>
        <v>10</v>
      </c>
      <c r="AB35" s="100"/>
      <c r="AC35" s="101"/>
      <c r="AD35" s="98"/>
      <c r="AE35" s="98"/>
    </row>
    <row r="36" spans="1:31" ht="12.75">
      <c r="A36" s="24">
        <v>32</v>
      </c>
      <c r="B36" s="129">
        <v>1.2</v>
      </c>
      <c r="C36" s="72" t="str">
        <f t="shared" si="0"/>
        <v>OK</v>
      </c>
      <c r="D36" s="72" t="str">
        <f t="shared" si="1"/>
        <v>-----</v>
      </c>
      <c r="U36" s="99" t="s">
        <v>29</v>
      </c>
      <c r="V36" s="102">
        <f>IF($Y$5=0,$Y$4+5*$AB$5,$Y$4+5*$Y$5)</f>
        <v>1.287694993664627</v>
      </c>
      <c r="W36" s="101">
        <f t="shared" si="3"/>
        <v>1.287678814665894</v>
      </c>
      <c r="X36" s="98"/>
      <c r="Y36" s="99" t="s">
        <v>29</v>
      </c>
      <c r="Z36" s="100">
        <f>AA36-AA35</f>
        <v>0</v>
      </c>
      <c r="AA36" s="100">
        <f t="shared" si="5"/>
        <v>10</v>
      </c>
      <c r="AB36" s="100"/>
      <c r="AC36" s="101"/>
      <c r="AD36" s="98"/>
      <c r="AE36" s="98"/>
    </row>
    <row r="37" spans="1:31" ht="12.75">
      <c r="A37" s="24">
        <v>33</v>
      </c>
      <c r="B37" s="129">
        <v>1.2</v>
      </c>
      <c r="C37" s="72" t="str">
        <f t="shared" si="0"/>
        <v>OK</v>
      </c>
      <c r="D37" s="72" t="str">
        <f t="shared" si="1"/>
        <v>-----</v>
      </c>
      <c r="U37" s="99" t="s">
        <v>31</v>
      </c>
      <c r="V37" s="102">
        <f>IF($Y$5=0,$Y$4+6*$AB$5,$Y$4+6*$Y$5)</f>
        <v>1.3038739923975522</v>
      </c>
      <c r="W37" s="101">
        <f t="shared" si="3"/>
        <v>1.3038578133988192</v>
      </c>
      <c r="X37" s="98"/>
      <c r="Y37" s="104" t="s">
        <v>31</v>
      </c>
      <c r="Z37" s="105">
        <f>AA37-AA36</f>
        <v>0</v>
      </c>
      <c r="AA37" s="105">
        <f t="shared" si="5"/>
        <v>10</v>
      </c>
      <c r="AB37" s="105"/>
      <c r="AC37" s="107"/>
      <c r="AD37" s="98"/>
      <c r="AE37" s="98"/>
    </row>
    <row r="38" spans="1:31" ht="12.75">
      <c r="A38" s="24">
        <v>34</v>
      </c>
      <c r="B38" s="129">
        <v>1.2</v>
      </c>
      <c r="C38" s="72" t="str">
        <f t="shared" si="0"/>
        <v>OK</v>
      </c>
      <c r="D38" s="72" t="str">
        <f t="shared" si="1"/>
        <v>-----</v>
      </c>
      <c r="U38" s="104"/>
      <c r="V38" s="110">
        <f>V37</f>
        <v>1.3038739923975522</v>
      </c>
      <c r="W38" s="107">
        <f t="shared" si="3"/>
        <v>1.3038578133988192</v>
      </c>
      <c r="X38" s="98"/>
      <c r="Y38" s="98"/>
      <c r="Z38" s="98"/>
      <c r="AA38" s="98"/>
      <c r="AB38" s="98"/>
      <c r="AC38" s="98"/>
      <c r="AD38" s="98"/>
      <c r="AE38" s="98"/>
    </row>
    <row r="39" spans="1:31" ht="12.75">
      <c r="A39" s="66">
        <v>35</v>
      </c>
      <c r="B39" s="129">
        <v>1.22</v>
      </c>
      <c r="C39" s="72" t="str">
        <f t="shared" si="0"/>
        <v>OK</v>
      </c>
      <c r="D39" s="72" t="str">
        <f t="shared" si="1"/>
        <v>-----</v>
      </c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</row>
    <row r="40" spans="1:31" ht="12.75">
      <c r="A40" s="24">
        <v>36</v>
      </c>
      <c r="B40" s="129">
        <v>1.22</v>
      </c>
      <c r="C40" s="72" t="str">
        <f t="shared" si="0"/>
        <v>OK</v>
      </c>
      <c r="D40" s="72" t="str">
        <f t="shared" si="1"/>
        <v>-----</v>
      </c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</row>
    <row r="41" spans="1:31" ht="12.75">
      <c r="A41" s="24">
        <v>37</v>
      </c>
      <c r="B41" s="129">
        <v>1.2</v>
      </c>
      <c r="C41" s="72" t="str">
        <f t="shared" si="0"/>
        <v>OK</v>
      </c>
      <c r="D41" s="72" t="str">
        <f t="shared" si="1"/>
        <v>-----</v>
      </c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</row>
    <row r="42" spans="1:31" ht="12.75">
      <c r="A42" s="24">
        <v>38</v>
      </c>
      <c r="B42" s="129">
        <v>1.23</v>
      </c>
      <c r="C42" s="72" t="str">
        <f t="shared" si="0"/>
        <v>OK</v>
      </c>
      <c r="D42" s="72" t="str">
        <f t="shared" si="1"/>
        <v>-----</v>
      </c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</row>
    <row r="43" spans="1:31" ht="12.75">
      <c r="A43" s="24">
        <v>39</v>
      </c>
      <c r="B43" s="129">
        <v>1.2</v>
      </c>
      <c r="C43" s="72" t="str">
        <f t="shared" si="0"/>
        <v>OK</v>
      </c>
      <c r="D43" s="72" t="str">
        <f t="shared" si="1"/>
        <v>-----</v>
      </c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</row>
    <row r="44" spans="1:31" ht="12.75">
      <c r="A44" s="66">
        <v>40</v>
      </c>
      <c r="B44" s="129">
        <v>1.2</v>
      </c>
      <c r="C44" s="72" t="str">
        <f t="shared" si="0"/>
        <v>OK</v>
      </c>
      <c r="D44" s="72" t="str">
        <f t="shared" si="1"/>
        <v>-----</v>
      </c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</row>
    <row r="45" spans="1:31" ht="12.75">
      <c r="A45" s="24">
        <v>41</v>
      </c>
      <c r="B45" s="129">
        <v>1.2</v>
      </c>
      <c r="C45" s="72" t="str">
        <f t="shared" si="0"/>
        <v>OK</v>
      </c>
      <c r="D45" s="72" t="str">
        <f t="shared" si="1"/>
        <v>-----</v>
      </c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</row>
    <row r="46" spans="1:31" ht="12.75">
      <c r="A46" s="24">
        <v>42</v>
      </c>
      <c r="B46" s="129">
        <v>1.2</v>
      </c>
      <c r="C46" s="72" t="str">
        <f t="shared" si="0"/>
        <v>OK</v>
      </c>
      <c r="D46" s="72" t="str">
        <f t="shared" si="1"/>
        <v>-----</v>
      </c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</row>
    <row r="47" spans="1:31" ht="12.75">
      <c r="A47" s="24">
        <v>43</v>
      </c>
      <c r="B47" s="130">
        <v>1.23</v>
      </c>
      <c r="C47" s="72" t="str">
        <f t="shared" si="0"/>
        <v>OK</v>
      </c>
      <c r="D47" s="72" t="str">
        <f t="shared" si="1"/>
        <v>-----</v>
      </c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</row>
    <row r="48" spans="1:31" ht="12.75">
      <c r="A48" s="24">
        <v>44</v>
      </c>
      <c r="B48" s="129">
        <v>1.2</v>
      </c>
      <c r="C48" s="72" t="str">
        <f t="shared" si="0"/>
        <v>OK</v>
      </c>
      <c r="D48" s="72" t="str">
        <f t="shared" si="1"/>
        <v>-----</v>
      </c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</row>
    <row r="49" spans="1:31" ht="12.75">
      <c r="A49" s="66">
        <v>45</v>
      </c>
      <c r="B49" s="129">
        <v>1.2</v>
      </c>
      <c r="C49" s="72" t="str">
        <f t="shared" si="0"/>
        <v>OK</v>
      </c>
      <c r="D49" s="72" t="str">
        <f t="shared" si="1"/>
        <v>-----</v>
      </c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</row>
    <row r="50" spans="1:31" ht="12.75">
      <c r="A50" s="24">
        <v>46</v>
      </c>
      <c r="B50" s="129">
        <v>1.2</v>
      </c>
      <c r="C50" s="72" t="str">
        <f t="shared" si="0"/>
        <v>OK</v>
      </c>
      <c r="D50" s="72" t="str">
        <f t="shared" si="1"/>
        <v>-----</v>
      </c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</row>
    <row r="51" spans="1:31" ht="12.75">
      <c r="A51" s="24">
        <v>47</v>
      </c>
      <c r="B51" s="129">
        <v>1.2</v>
      </c>
      <c r="C51" s="72" t="str">
        <f t="shared" si="0"/>
        <v>OK</v>
      </c>
      <c r="D51" s="72" t="str">
        <f t="shared" si="1"/>
        <v>-----</v>
      </c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</row>
    <row r="52" spans="1:31" ht="12.75">
      <c r="A52" s="24">
        <v>48</v>
      </c>
      <c r="B52" s="129">
        <v>1.2</v>
      </c>
      <c r="C52" s="72" t="str">
        <f t="shared" si="0"/>
        <v>OK</v>
      </c>
      <c r="D52" s="72" t="str">
        <f t="shared" si="1"/>
        <v>-----</v>
      </c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</row>
    <row r="53" spans="1:31" ht="12.75">
      <c r="A53" s="24">
        <v>49</v>
      </c>
      <c r="B53" s="129">
        <v>1.2</v>
      </c>
      <c r="C53" s="72" t="str">
        <f t="shared" si="0"/>
        <v>OK</v>
      </c>
      <c r="D53" s="72" t="str">
        <f t="shared" si="1"/>
        <v>-----</v>
      </c>
      <c r="T53" t="s">
        <v>71</v>
      </c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</row>
    <row r="54" spans="1:31" ht="12.75">
      <c r="A54" s="66">
        <v>50</v>
      </c>
      <c r="B54" s="131">
        <v>1.22</v>
      </c>
      <c r="C54" s="72" t="str">
        <f t="shared" si="0"/>
        <v>OK</v>
      </c>
      <c r="D54" s="72" t="str">
        <f t="shared" si="1"/>
        <v>-----</v>
      </c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</row>
    <row r="55" spans="1:31" ht="13.5" thickBot="1">
      <c r="A55" s="25"/>
      <c r="B55" s="25"/>
      <c r="C55" s="26"/>
      <c r="D55" s="26"/>
      <c r="E55" s="6"/>
      <c r="F55" s="48" t="str">
        <f>IF($Y$5=0,"Grafische Darstellung der Istverteilung nicht möglich"," ")</f>
        <v> 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</row>
    <row r="56" spans="11:31" ht="12.75">
      <c r="K56" s="60"/>
      <c r="L56" s="11"/>
      <c r="M56" s="10"/>
      <c r="O56" s="10" t="s">
        <v>32</v>
      </c>
      <c r="P56" s="10"/>
      <c r="Q56" s="10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</row>
    <row r="57" spans="3:31" ht="12.75">
      <c r="C57"/>
      <c r="D57" s="9" t="s">
        <v>72</v>
      </c>
      <c r="F57" s="53">
        <f>$Y$4</f>
        <v>1.2068</v>
      </c>
      <c r="G57" s="46"/>
      <c r="J57" s="3" t="s">
        <v>33</v>
      </c>
      <c r="K57" s="16">
        <f>$AA$15</f>
        <v>4.120568136951237</v>
      </c>
      <c r="L57" s="15" t="str">
        <f>$AD$15</f>
        <v>capable</v>
      </c>
      <c r="P57" s="27" t="s">
        <v>123</v>
      </c>
      <c r="Q57" s="61">
        <f>$O$16</f>
        <v>1.33</v>
      </c>
      <c r="R57" s="54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</row>
    <row r="58" spans="3:31" ht="15">
      <c r="C58"/>
      <c r="D58" s="9" t="s">
        <v>73</v>
      </c>
      <c r="F58" s="47">
        <f>Y5</f>
        <v>0.016178998732925356</v>
      </c>
      <c r="G58" s="46"/>
      <c r="J58" s="12" t="s">
        <v>34</v>
      </c>
      <c r="K58" s="17">
        <f>$AA$19</f>
        <v>3.980468820294892</v>
      </c>
      <c r="L58" s="13" t="str">
        <f>$AA$18</f>
        <v>capable</v>
      </c>
      <c r="M58" s="5"/>
      <c r="O58" s="49"/>
      <c r="P58" s="55" t="s">
        <v>76</v>
      </c>
      <c r="Q58" s="64">
        <f>$AB$10</f>
        <v>0.06455420494437217</v>
      </c>
      <c r="R58" s="65" t="str">
        <f>$O$15</f>
        <v>mm</v>
      </c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</row>
    <row r="59" spans="4:31" ht="15">
      <c r="D59" s="9" t="s">
        <v>74</v>
      </c>
      <c r="F59" s="53">
        <f>$V$4</f>
        <v>1.3</v>
      </c>
      <c r="G59" s="46"/>
      <c r="I59" s="5"/>
      <c r="N59" s="78"/>
      <c r="O59" s="79"/>
      <c r="P59" s="55" t="s">
        <v>77</v>
      </c>
      <c r="Q59" s="80">
        <f>$AB$5</f>
        <v>0.039920159680638716</v>
      </c>
      <c r="R59" s="5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</row>
    <row r="60" spans="4:31" ht="15">
      <c r="D60" s="9" t="s">
        <v>75</v>
      </c>
      <c r="F60" s="53">
        <f>$V$5</f>
        <v>1.2</v>
      </c>
      <c r="G60" s="46"/>
      <c r="J60" s="3"/>
      <c r="O60" s="54"/>
      <c r="P60" s="55" t="s">
        <v>78</v>
      </c>
      <c r="Q60" s="56">
        <f>($Y$4-$AB$4)*(-1)</f>
        <v>-0.006800000000000139</v>
      </c>
      <c r="R60" s="49" t="str">
        <f>$O$15</f>
        <v>mm</v>
      </c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</row>
    <row r="61" spans="1:31" ht="15">
      <c r="A61" s="81"/>
      <c r="B61" s="81"/>
      <c r="C61" s="82"/>
      <c r="D61" s="85"/>
      <c r="E61" s="5"/>
      <c r="F61" s="53"/>
      <c r="G61" s="86"/>
      <c r="H61" s="5"/>
      <c r="I61" s="5"/>
      <c r="J61" s="12"/>
      <c r="K61" s="5"/>
      <c r="L61" s="5"/>
      <c r="M61" s="5"/>
      <c r="N61" s="5"/>
      <c r="O61" s="87"/>
      <c r="P61" s="87"/>
      <c r="Q61" s="87"/>
      <c r="R61" s="87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</row>
    <row r="62" spans="1:31" ht="15">
      <c r="A62" s="93"/>
      <c r="B62" s="81"/>
      <c r="C62" s="82"/>
      <c r="D62" s="5"/>
      <c r="E62" s="5"/>
      <c r="F62" s="8"/>
      <c r="G62" s="5"/>
      <c r="H62" s="5"/>
      <c r="I62" s="8"/>
      <c r="J62" s="88"/>
      <c r="K62" s="92"/>
      <c r="L62" s="5"/>
      <c r="M62" s="5"/>
      <c r="N62" s="5"/>
      <c r="O62" s="5"/>
      <c r="P62" s="5"/>
      <c r="Q62" s="5"/>
      <c r="R62" s="5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</row>
    <row r="63" spans="1:31" ht="15">
      <c r="A63" s="88"/>
      <c r="B63" s="81"/>
      <c r="C63" s="82"/>
      <c r="D63" s="82"/>
      <c r="E63" s="5"/>
      <c r="F63" s="5"/>
      <c r="G63" s="5"/>
      <c r="H63" s="5"/>
      <c r="I63" s="5"/>
      <c r="J63" s="89"/>
      <c r="K63" s="90"/>
      <c r="L63" s="91"/>
      <c r="M63" s="5"/>
      <c r="N63" s="5"/>
      <c r="O63" s="5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</row>
    <row r="64" spans="1:31" ht="15.75" thickBot="1">
      <c r="A64" s="83" t="str">
        <f>IF($V$18="fähig",""," The test should be repeated after taking any corrective action!")</f>
        <v> The test should be repeated after taking any corrective action!</v>
      </c>
      <c r="B64" s="25"/>
      <c r="C64" s="26"/>
      <c r="D64" s="26"/>
      <c r="E64" s="6"/>
      <c r="F64" s="6"/>
      <c r="G64" s="6"/>
      <c r="H64" s="6"/>
      <c r="I64" s="6"/>
      <c r="J64" s="50"/>
      <c r="K64" s="52"/>
      <c r="L64" s="51"/>
      <c r="M64" s="6"/>
      <c r="N64" s="57"/>
      <c r="O64" s="58"/>
      <c r="P64" s="59"/>
      <c r="Q64" s="63"/>
      <c r="R64" s="6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</row>
    <row r="65" spans="21:31" ht="15"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</row>
    <row r="66" spans="1:31" s="10" customFormat="1" ht="15">
      <c r="A66" s="111" t="s">
        <v>97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3"/>
      <c r="L66" s="1"/>
      <c r="M66" s="111"/>
      <c r="N66" s="112"/>
      <c r="O66" s="112"/>
      <c r="P66" s="112"/>
      <c r="Q66" s="28"/>
      <c r="R66" s="29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</row>
    <row r="67" spans="1:31" s="10" customFormat="1" ht="15">
      <c r="A67" s="114"/>
      <c r="B67" s="81"/>
      <c r="C67" s="81"/>
      <c r="D67" s="81"/>
      <c r="E67" s="81"/>
      <c r="F67" s="81"/>
      <c r="G67" s="81" t="s">
        <v>98</v>
      </c>
      <c r="H67" s="81" t="s">
        <v>99</v>
      </c>
      <c r="I67" s="81" t="s">
        <v>100</v>
      </c>
      <c r="J67" s="81"/>
      <c r="K67" s="115"/>
      <c r="L67" s="1"/>
      <c r="M67" s="114"/>
      <c r="N67" s="81"/>
      <c r="O67" s="116" t="s">
        <v>104</v>
      </c>
      <c r="P67" s="117">
        <f>Q72</f>
        <v>0.9604790419161677</v>
      </c>
      <c r="Q67" s="30"/>
      <c r="R67" s="31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</row>
    <row r="68" spans="1:31" s="35" customFormat="1" ht="15">
      <c r="A68" s="114"/>
      <c r="B68" s="81"/>
      <c r="C68" s="81"/>
      <c r="D68" s="81" t="s">
        <v>35</v>
      </c>
      <c r="E68" s="81"/>
      <c r="F68" s="81" t="s">
        <v>101</v>
      </c>
      <c r="G68" s="81" t="s">
        <v>102</v>
      </c>
      <c r="H68" s="81" t="s">
        <v>102</v>
      </c>
      <c r="I68" s="81" t="s">
        <v>103</v>
      </c>
      <c r="J68" s="81"/>
      <c r="K68" s="115"/>
      <c r="L68" s="1"/>
      <c r="M68" s="114"/>
      <c r="N68" s="81"/>
      <c r="O68" s="116" t="s">
        <v>105</v>
      </c>
      <c r="P68" s="81">
        <f>(Q71-Q72)/200</f>
        <v>0.0023952095808383225</v>
      </c>
      <c r="Q68" s="33"/>
      <c r="R68" s="3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</row>
    <row r="69" spans="1:31" s="35" customFormat="1" ht="15">
      <c r="A69" s="114">
        <f>IF($Y$5=0,0.0001,$Y$5)</f>
        <v>0.016178998732925356</v>
      </c>
      <c r="B69" s="81"/>
      <c r="C69" s="81"/>
      <c r="D69" s="81">
        <v>1</v>
      </c>
      <c r="E69" s="81"/>
      <c r="F69" s="117">
        <f>Q72</f>
        <v>0.9604790419161677</v>
      </c>
      <c r="G69" s="142">
        <f aca="true" t="shared" si="6" ref="G69:G85">1/($A$69*SQRT(2*3.14))*EXP(-((F69-$Y$4)*(F69-$Y$4))/(($A$69*$A$69)*2))</f>
        <v>1.1454040969940006E-49</v>
      </c>
      <c r="H69" s="81">
        <f>1/($AB$5*SQRT(2*3.14))*EXP(-((F69-$AB$4)*(F69-$AB$4))/(($AB$5*$AB$5)*2))</f>
        <v>1.522394597391594E-07</v>
      </c>
      <c r="I69" s="81">
        <f>IF(OR(J69-J68=1,J69-J68=-1),$R$148,0)</f>
        <v>0</v>
      </c>
      <c r="J69" s="81">
        <f>IF(OR(F69&lt;$AB$6,F69&gt;$AB$7),0,1)</f>
        <v>0</v>
      </c>
      <c r="K69" s="115"/>
      <c r="L69" s="1"/>
      <c r="M69" s="114"/>
      <c r="N69" s="81"/>
      <c r="O69" s="81"/>
      <c r="P69" s="81"/>
      <c r="Q69" s="33"/>
      <c r="R69" s="3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</row>
    <row r="70" spans="1:31" s="35" customFormat="1" ht="15">
      <c r="A70" s="114"/>
      <c r="B70" s="81"/>
      <c r="C70" s="81"/>
      <c r="D70" s="81">
        <v>2</v>
      </c>
      <c r="E70" s="81"/>
      <c r="F70" s="117">
        <f>F69+$P$68</f>
        <v>0.962874251497006</v>
      </c>
      <c r="G70" s="81">
        <f t="shared" si="6"/>
        <v>1.0791243853305339E-48</v>
      </c>
      <c r="H70" s="81">
        <f>1/($AB$5*SQRT(2*3.14))*EXP(-((F70-$AB$4)*(F70-$AB$4))/(($AB$5*$AB$5)*2))</f>
        <v>2.1781687225570364E-07</v>
      </c>
      <c r="I70" s="81">
        <f aca="true" t="shared" si="7" ref="I70:I85">IF(OR(J70-J69=1,J70-J69=-1),$R$148,0)</f>
        <v>0</v>
      </c>
      <c r="J70" s="81">
        <f aca="true" t="shared" si="8" ref="J70:J85">IF(OR(F70&lt;$AB$6,F70&gt;$AB$7),0,1)</f>
        <v>0</v>
      </c>
      <c r="K70" s="115"/>
      <c r="L70" s="1"/>
      <c r="M70" s="114"/>
      <c r="N70" s="81"/>
      <c r="O70" s="81"/>
      <c r="P70" s="81"/>
      <c r="Q70" s="33"/>
      <c r="R70" s="3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</row>
    <row r="71" spans="1:31" s="35" customFormat="1" ht="15">
      <c r="A71" s="114"/>
      <c r="B71" s="81"/>
      <c r="C71" s="81"/>
      <c r="D71" s="81">
        <v>3</v>
      </c>
      <c r="E71" s="81"/>
      <c r="F71" s="117">
        <f aca="true" t="shared" si="9" ref="F71:F86">F70+$P$68</f>
        <v>0.9652694610778443</v>
      </c>
      <c r="G71" s="81">
        <f t="shared" si="6"/>
        <v>9.94639702234891E-48</v>
      </c>
      <c r="H71" s="81">
        <f aca="true" t="shared" si="10" ref="H71:H86">1/($AB$5*SQRT(2*3.14))*EXP(-((F71-$AB$4)*(F71-$AB$4))/(($AB$5*$AB$5)*2))</f>
        <v>3.1052197575181074E-07</v>
      </c>
      <c r="I71" s="81">
        <f t="shared" si="7"/>
        <v>0</v>
      </c>
      <c r="J71" s="81">
        <f t="shared" si="8"/>
        <v>0</v>
      </c>
      <c r="K71" s="115"/>
      <c r="L71" s="1"/>
      <c r="M71" s="114"/>
      <c r="N71" s="81"/>
      <c r="O71" s="81" t="s">
        <v>36</v>
      </c>
      <c r="P71" s="124">
        <f>Q71</f>
        <v>1.4395209580838322</v>
      </c>
      <c r="Q71" s="37">
        <f>IF(N74&gt;R71,N74,R71)</f>
        <v>1.4395209580838322</v>
      </c>
      <c r="R71" s="38">
        <f>IF(AB7&gt;P74,AB7,P74)</f>
        <v>1.4395209580838322</v>
      </c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</row>
    <row r="72" spans="1:31" s="35" customFormat="1" ht="15">
      <c r="A72" s="114"/>
      <c r="B72" s="81"/>
      <c r="C72" s="81"/>
      <c r="D72" s="81">
        <v>4</v>
      </c>
      <c r="E72" s="81"/>
      <c r="F72" s="117">
        <f t="shared" si="9"/>
        <v>0.9676646706586826</v>
      </c>
      <c r="G72" s="81">
        <f t="shared" si="6"/>
        <v>8.9689496185623E-47</v>
      </c>
      <c r="H72" s="81">
        <f t="shared" si="10"/>
        <v>4.4109253097265916E-07</v>
      </c>
      <c r="I72" s="81">
        <f t="shared" si="7"/>
        <v>0</v>
      </c>
      <c r="J72" s="81">
        <f t="shared" si="8"/>
        <v>0</v>
      </c>
      <c r="K72" s="115"/>
      <c r="L72" s="1"/>
      <c r="M72" s="114"/>
      <c r="N72" s="81"/>
      <c r="O72" s="81" t="s">
        <v>37</v>
      </c>
      <c r="P72" s="124">
        <f>Q72</f>
        <v>0.9604790419161677</v>
      </c>
      <c r="Q72" s="37">
        <f>IF(N75&lt;R72,N75,R72)</f>
        <v>0.9604790419161677</v>
      </c>
      <c r="R72" s="38">
        <f>IF(AB6&lt;P75,AB6,P75)</f>
        <v>0.9604790419161677</v>
      </c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</row>
    <row r="73" spans="1:31" s="35" customFormat="1" ht="15">
      <c r="A73" s="114"/>
      <c r="B73" s="81"/>
      <c r="C73" s="81"/>
      <c r="D73" s="81">
        <v>5</v>
      </c>
      <c r="E73" s="81"/>
      <c r="F73" s="117">
        <f t="shared" si="9"/>
        <v>0.9700598802395208</v>
      </c>
      <c r="G73" s="81">
        <f t="shared" si="6"/>
        <v>7.912229722630583E-46</v>
      </c>
      <c r="H73" s="81">
        <f t="shared" si="10"/>
        <v>6.243147662240549E-07</v>
      </c>
      <c r="I73" s="81">
        <f t="shared" si="7"/>
        <v>0</v>
      </c>
      <c r="J73" s="81">
        <f t="shared" si="8"/>
        <v>0</v>
      </c>
      <c r="K73" s="115"/>
      <c r="L73" s="1"/>
      <c r="M73" s="114"/>
      <c r="N73" s="81"/>
      <c r="O73" s="81"/>
      <c r="P73" s="81"/>
      <c r="Q73" s="33"/>
      <c r="R73" s="3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</row>
    <row r="74" spans="1:31" s="35" customFormat="1" ht="15">
      <c r="A74" s="114"/>
      <c r="B74" s="81"/>
      <c r="C74" s="81"/>
      <c r="D74" s="81">
        <v>6</v>
      </c>
      <c r="E74" s="81"/>
      <c r="F74" s="117">
        <f t="shared" si="9"/>
        <v>0.9724550898203591</v>
      </c>
      <c r="G74" s="81">
        <f t="shared" si="6"/>
        <v>6.82869477533829E-45</v>
      </c>
      <c r="H74" s="81">
        <f t="shared" si="10"/>
        <v>8.804689596651284E-07</v>
      </c>
      <c r="I74" s="81">
        <f t="shared" si="7"/>
        <v>0</v>
      </c>
      <c r="J74" s="81">
        <f t="shared" si="8"/>
        <v>0</v>
      </c>
      <c r="K74" s="115"/>
      <c r="L74" s="1"/>
      <c r="M74" s="114" t="s">
        <v>38</v>
      </c>
      <c r="N74" s="93">
        <f>Y4+6*Y5</f>
        <v>1.3038739923975522</v>
      </c>
      <c r="O74" s="81" t="s">
        <v>106</v>
      </c>
      <c r="P74" s="81">
        <f>AB4+6*AB5</f>
        <v>1.4395209580838322</v>
      </c>
      <c r="Q74" s="33"/>
      <c r="R74" s="3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</row>
    <row r="75" spans="1:31" s="35" customFormat="1" ht="15">
      <c r="A75" s="114"/>
      <c r="B75" s="81"/>
      <c r="C75" s="81"/>
      <c r="D75" s="81">
        <v>7</v>
      </c>
      <c r="E75" s="81"/>
      <c r="F75" s="117">
        <f t="shared" si="9"/>
        <v>0.9748502994011974</v>
      </c>
      <c r="G75" s="81">
        <f t="shared" si="6"/>
        <v>5.765779429511977E-44</v>
      </c>
      <c r="H75" s="81">
        <f t="shared" si="10"/>
        <v>1.2372601707381449E-06</v>
      </c>
      <c r="I75" s="81">
        <f t="shared" si="7"/>
        <v>0</v>
      </c>
      <c r="J75" s="81">
        <f t="shared" si="8"/>
        <v>0</v>
      </c>
      <c r="K75" s="115"/>
      <c r="L75" s="1"/>
      <c r="M75" s="114" t="s">
        <v>39</v>
      </c>
      <c r="N75" s="93">
        <f>Y4-6*Y5</f>
        <v>1.109726007602448</v>
      </c>
      <c r="O75" s="81" t="s">
        <v>107</v>
      </c>
      <c r="P75" s="81">
        <f>AB4-6*AB5</f>
        <v>0.9604790419161677</v>
      </c>
      <c r="Q75" s="33"/>
      <c r="R75" s="3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</row>
    <row r="76" spans="1:31" s="35" customFormat="1" ht="15">
      <c r="A76" s="114"/>
      <c r="B76" s="81"/>
      <c r="C76" s="81"/>
      <c r="D76" s="81">
        <v>8</v>
      </c>
      <c r="E76" s="81"/>
      <c r="F76" s="117">
        <f t="shared" si="9"/>
        <v>0.9772455089820357</v>
      </c>
      <c r="G76" s="81">
        <f t="shared" si="6"/>
        <v>4.762772717375181E-43</v>
      </c>
      <c r="H76" s="81">
        <f t="shared" si="10"/>
        <v>1.7323855603272648E-06</v>
      </c>
      <c r="I76" s="81">
        <f t="shared" si="7"/>
        <v>0</v>
      </c>
      <c r="J76" s="81">
        <f t="shared" si="8"/>
        <v>0</v>
      </c>
      <c r="K76" s="115"/>
      <c r="L76" s="1"/>
      <c r="M76" s="118"/>
      <c r="N76" s="119"/>
      <c r="O76" s="119"/>
      <c r="P76" s="119"/>
      <c r="Q76" s="39"/>
      <c r="R76" s="40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</row>
    <row r="77" spans="1:31" s="35" customFormat="1" ht="15">
      <c r="A77" s="114"/>
      <c r="B77" s="81"/>
      <c r="C77" s="81"/>
      <c r="D77" s="81">
        <v>9</v>
      </c>
      <c r="E77" s="81"/>
      <c r="F77" s="117">
        <f t="shared" si="9"/>
        <v>0.9796407185628739</v>
      </c>
      <c r="G77" s="81">
        <f t="shared" si="6"/>
        <v>3.84895824508228E-42</v>
      </c>
      <c r="H77" s="81">
        <f t="shared" si="10"/>
        <v>2.416933034398664E-06</v>
      </c>
      <c r="I77" s="81">
        <f t="shared" si="7"/>
        <v>0</v>
      </c>
      <c r="J77" s="81">
        <f t="shared" si="8"/>
        <v>0</v>
      </c>
      <c r="K77" s="115"/>
      <c r="L77" s="1"/>
      <c r="M77" s="1"/>
      <c r="N77" s="1"/>
      <c r="O77" s="1"/>
      <c r="P77" s="1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</row>
    <row r="78" spans="1:31" s="35" customFormat="1" ht="15">
      <c r="A78" s="114"/>
      <c r="B78" s="81"/>
      <c r="C78" s="81"/>
      <c r="D78" s="81">
        <v>10</v>
      </c>
      <c r="E78" s="81"/>
      <c r="F78" s="117">
        <f t="shared" si="9"/>
        <v>0.9820359281437122</v>
      </c>
      <c r="G78" s="81">
        <f t="shared" si="6"/>
        <v>3.0430427392132507E-41</v>
      </c>
      <c r="H78" s="81">
        <f t="shared" si="10"/>
        <v>3.3598602984049E-06</v>
      </c>
      <c r="I78" s="81">
        <f t="shared" si="7"/>
        <v>0</v>
      </c>
      <c r="J78" s="81">
        <f t="shared" si="8"/>
        <v>0</v>
      </c>
      <c r="K78" s="115"/>
      <c r="L78" s="1"/>
      <c r="M78" s="1"/>
      <c r="N78" s="1"/>
      <c r="O78" s="1"/>
      <c r="P78" s="1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</row>
    <row r="79" spans="1:31" s="35" customFormat="1" ht="15">
      <c r="A79" s="114"/>
      <c r="B79" s="81"/>
      <c r="C79" s="81"/>
      <c r="D79" s="81">
        <v>11</v>
      </c>
      <c r="E79" s="81"/>
      <c r="F79" s="117">
        <f t="shared" si="9"/>
        <v>0.9844311377245505</v>
      </c>
      <c r="G79" s="81">
        <f t="shared" si="6"/>
        <v>2.3537179211063923E-40</v>
      </c>
      <c r="H79" s="81">
        <f t="shared" si="10"/>
        <v>4.65387122734653E-06</v>
      </c>
      <c r="I79" s="81">
        <f t="shared" si="7"/>
        <v>0</v>
      </c>
      <c r="J79" s="81">
        <f t="shared" si="8"/>
        <v>0</v>
      </c>
      <c r="K79" s="115"/>
      <c r="L79" s="1"/>
      <c r="M79" s="111"/>
      <c r="N79" s="112" t="s">
        <v>108</v>
      </c>
      <c r="O79" s="112"/>
      <c r="P79" s="112"/>
      <c r="Q79" s="42"/>
      <c r="R79" s="43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</row>
    <row r="80" spans="1:31" s="35" customFormat="1" ht="15">
      <c r="A80" s="114"/>
      <c r="B80" s="81"/>
      <c r="C80" s="81"/>
      <c r="D80" s="81">
        <v>12</v>
      </c>
      <c r="E80" s="81"/>
      <c r="F80" s="117">
        <f t="shared" si="9"/>
        <v>0.9868263473053888</v>
      </c>
      <c r="G80" s="81">
        <f t="shared" si="6"/>
        <v>1.781075320288996E-39</v>
      </c>
      <c r="H80" s="81">
        <f t="shared" si="10"/>
        <v>6.423090545536747E-06</v>
      </c>
      <c r="I80" s="81">
        <f t="shared" si="7"/>
        <v>0</v>
      </c>
      <c r="J80" s="81">
        <f t="shared" si="8"/>
        <v>0</v>
      </c>
      <c r="K80" s="115"/>
      <c r="L80" s="1"/>
      <c r="M80" s="114"/>
      <c r="N80" s="81" t="s">
        <v>109</v>
      </c>
      <c r="O80" s="81"/>
      <c r="P80" s="81"/>
      <c r="Q80" s="33"/>
      <c r="R80" s="3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</row>
    <row r="81" spans="1:31" s="35" customFormat="1" ht="15">
      <c r="A81" s="114"/>
      <c r="B81" s="81"/>
      <c r="C81" s="81"/>
      <c r="D81" s="81">
        <v>13</v>
      </c>
      <c r="E81" s="81"/>
      <c r="F81" s="117">
        <f t="shared" si="9"/>
        <v>0.989221556886227</v>
      </c>
      <c r="G81" s="81">
        <f t="shared" si="6"/>
        <v>1.3185350148306922E-38</v>
      </c>
      <c r="H81" s="81">
        <f t="shared" si="10"/>
        <v>8.833041404714177E-06</v>
      </c>
      <c r="I81" s="81">
        <f t="shared" si="7"/>
        <v>0</v>
      </c>
      <c r="J81" s="81">
        <f t="shared" si="8"/>
        <v>0</v>
      </c>
      <c r="K81" s="115"/>
      <c r="L81" s="1"/>
      <c r="M81" s="114"/>
      <c r="N81" s="81" t="s">
        <v>40</v>
      </c>
      <c r="O81" s="81" t="s">
        <v>41</v>
      </c>
      <c r="P81" s="81"/>
      <c r="Q81" s="33"/>
      <c r="R81" s="3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</row>
    <row r="82" spans="1:31" s="35" customFormat="1" ht="15">
      <c r="A82" s="114"/>
      <c r="B82" s="81"/>
      <c r="C82" s="81"/>
      <c r="D82" s="81">
        <v>14</v>
      </c>
      <c r="E82" s="81"/>
      <c r="F82" s="117">
        <f t="shared" si="9"/>
        <v>0.9916167664670653</v>
      </c>
      <c r="G82" s="81">
        <f t="shared" si="6"/>
        <v>9.54954234013623E-38</v>
      </c>
      <c r="H82" s="81">
        <f t="shared" si="10"/>
        <v>1.21035572288782E-05</v>
      </c>
      <c r="I82" s="81">
        <f t="shared" si="7"/>
        <v>0</v>
      </c>
      <c r="J82" s="81">
        <f t="shared" si="8"/>
        <v>0</v>
      </c>
      <c r="K82" s="115"/>
      <c r="L82" s="1"/>
      <c r="M82" s="114"/>
      <c r="N82" s="81" t="s">
        <v>110</v>
      </c>
      <c r="O82" s="81" t="s">
        <v>42</v>
      </c>
      <c r="P82" s="81" t="s">
        <v>111</v>
      </c>
      <c r="Q82" s="33"/>
      <c r="R82" s="3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</row>
    <row r="83" spans="1:31" s="35" customFormat="1" ht="15">
      <c r="A83" s="114"/>
      <c r="B83" s="81"/>
      <c r="C83" s="81"/>
      <c r="D83" s="81">
        <v>15</v>
      </c>
      <c r="E83" s="81"/>
      <c r="F83" s="117">
        <f t="shared" si="9"/>
        <v>0.9940119760479036</v>
      </c>
      <c r="G83" s="81">
        <f t="shared" si="6"/>
        <v>6.766357805981231E-37</v>
      </c>
      <c r="H83" s="81">
        <f t="shared" si="10"/>
        <v>1.6525413287440903E-05</v>
      </c>
      <c r="I83" s="81">
        <f t="shared" si="7"/>
        <v>0</v>
      </c>
      <c r="J83" s="81">
        <f t="shared" si="8"/>
        <v>0</v>
      </c>
      <c r="K83" s="115"/>
      <c r="L83" s="1"/>
      <c r="M83" s="114">
        <v>1</v>
      </c>
      <c r="N83" s="117">
        <f>(SUM(B5:B9))/5</f>
        <v>1.2200000000000002</v>
      </c>
      <c r="O83" s="81">
        <f aca="true" t="shared" si="11" ref="O83:O98">IF(N83&gt;0,N83-$Y$4,0)</f>
        <v>0.0132000000000001</v>
      </c>
      <c r="P83" s="120" t="s">
        <v>43</v>
      </c>
      <c r="Q83" s="44">
        <f>SUM(N83:N92)</f>
        <v>12.068000000000001</v>
      </c>
      <c r="R83" s="3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</row>
    <row r="84" spans="1:31" s="35" customFormat="1" ht="15">
      <c r="A84" s="114"/>
      <c r="B84" s="81"/>
      <c r="C84" s="81"/>
      <c r="D84" s="81">
        <v>16</v>
      </c>
      <c r="E84" s="81"/>
      <c r="F84" s="117">
        <f t="shared" si="9"/>
        <v>0.9964071856287419</v>
      </c>
      <c r="G84" s="81">
        <f t="shared" si="6"/>
        <v>4.690389083191E-36</v>
      </c>
      <c r="H84" s="81">
        <f t="shared" si="10"/>
        <v>2.248164942326823E-05</v>
      </c>
      <c r="I84" s="81">
        <f t="shared" si="7"/>
        <v>0</v>
      </c>
      <c r="J84" s="81">
        <f t="shared" si="8"/>
        <v>0</v>
      </c>
      <c r="K84" s="115"/>
      <c r="L84" s="1"/>
      <c r="M84" s="114">
        <v>2</v>
      </c>
      <c r="N84" s="117">
        <f>(SUM(B10:B14))/5</f>
        <v>1.202</v>
      </c>
      <c r="O84" s="81">
        <f t="shared" si="11"/>
        <v>-0.0048000000000001375</v>
      </c>
      <c r="P84" s="81"/>
      <c r="Q84" s="44"/>
      <c r="R84" s="3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</row>
    <row r="85" spans="1:31" s="35" customFormat="1" ht="15">
      <c r="A85" s="114"/>
      <c r="B85" s="81"/>
      <c r="C85" s="81"/>
      <c r="D85" s="81">
        <v>17</v>
      </c>
      <c r="E85" s="81"/>
      <c r="F85" s="117">
        <f t="shared" si="9"/>
        <v>0.9988023952095801</v>
      </c>
      <c r="G85" s="81">
        <f t="shared" si="6"/>
        <v>3.180858066727394E-35</v>
      </c>
      <c r="H85" s="81">
        <f t="shared" si="10"/>
        <v>3.047477813938442E-05</v>
      </c>
      <c r="I85" s="81">
        <f t="shared" si="7"/>
        <v>0</v>
      </c>
      <c r="J85" s="81">
        <f t="shared" si="8"/>
        <v>0</v>
      </c>
      <c r="K85" s="115"/>
      <c r="L85" s="1"/>
      <c r="M85" s="114">
        <v>3</v>
      </c>
      <c r="N85" s="117">
        <f>(SUM(B15:B19))/5</f>
        <v>1.2020000000000002</v>
      </c>
      <c r="O85" s="81">
        <f t="shared" si="11"/>
        <v>-0.0047999999999999154</v>
      </c>
      <c r="P85" s="81"/>
      <c r="Q85" s="33"/>
      <c r="R85" s="3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</row>
    <row r="86" spans="1:31" s="35" customFormat="1" ht="15">
      <c r="A86" s="114"/>
      <c r="B86" s="81"/>
      <c r="C86" s="81"/>
      <c r="D86" s="81">
        <v>18</v>
      </c>
      <c r="E86" s="81"/>
      <c r="F86" s="117">
        <f t="shared" si="9"/>
        <v>1.0011976047904185</v>
      </c>
      <c r="G86" s="81">
        <f aca="true" t="shared" si="12" ref="G86:G101">1/($A$69*SQRT(2*3.14))*EXP(-((F86-$Y$4)*(F86-$Y$4))/(($A$69*$A$69)*2))</f>
        <v>2.1103827147501953E-34</v>
      </c>
      <c r="H86" s="81">
        <f t="shared" si="10"/>
        <v>4.1161337075059055E-05</v>
      </c>
      <c r="I86" s="81">
        <f aca="true" t="shared" si="13" ref="I86:I101">IF(OR(J86-J85=1,J86-J85=-1),$R$148,0)</f>
        <v>24.65728033166606</v>
      </c>
      <c r="J86" s="81">
        <f aca="true" t="shared" si="14" ref="J86:J101">IF(OR(F86&lt;$AB$6,F86&gt;$AB$7),0,1)</f>
        <v>1</v>
      </c>
      <c r="K86" s="115"/>
      <c r="L86" s="1"/>
      <c r="M86" s="114">
        <v>4</v>
      </c>
      <c r="N86" s="117">
        <f>(SUM(B20:B24))/5</f>
        <v>1.2040000000000002</v>
      </c>
      <c r="O86" s="81">
        <f t="shared" si="11"/>
        <v>-0.0027999999999999137</v>
      </c>
      <c r="P86" s="81" t="s">
        <v>44</v>
      </c>
      <c r="Q86" s="44">
        <f>SUM(N83:N92)</f>
        <v>12.068000000000001</v>
      </c>
      <c r="R86" s="3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</row>
    <row r="87" spans="1:31" s="35" customFormat="1" ht="15">
      <c r="A87" s="114"/>
      <c r="B87" s="81"/>
      <c r="C87" s="81"/>
      <c r="D87" s="81">
        <v>19</v>
      </c>
      <c r="E87" s="81"/>
      <c r="F87" s="117">
        <f aca="true" t="shared" si="15" ref="F87:F102">F86+$P$68</f>
        <v>1.003592814371257</v>
      </c>
      <c r="G87" s="81">
        <f t="shared" si="12"/>
        <v>1.3698078827085509E-33</v>
      </c>
      <c r="H87" s="81">
        <f aca="true" t="shared" si="16" ref="H87:H102">1/($AB$5*SQRT(2*3.14))*EXP(-((F87-$AB$4)*(F87-$AB$4))/(($AB$5*$AB$5)*2))</f>
        <v>5.539555718135511E-05</v>
      </c>
      <c r="I87" s="81">
        <f t="shared" si="13"/>
        <v>0</v>
      </c>
      <c r="J87" s="81">
        <f t="shared" si="14"/>
        <v>1</v>
      </c>
      <c r="K87" s="115"/>
      <c r="L87" s="1"/>
      <c r="M87" s="114">
        <v>5</v>
      </c>
      <c r="N87" s="117">
        <f>(SUM(B25:B29))/5</f>
        <v>1.202</v>
      </c>
      <c r="O87" s="81">
        <f t="shared" si="11"/>
        <v>-0.0048000000000001375</v>
      </c>
      <c r="P87" s="81"/>
      <c r="Q87" s="33"/>
      <c r="R87" s="3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</row>
    <row r="88" spans="1:31" s="35" customFormat="1" ht="15">
      <c r="A88" s="114"/>
      <c r="B88" s="81"/>
      <c r="C88" s="81"/>
      <c r="D88" s="81">
        <v>20</v>
      </c>
      <c r="E88" s="81"/>
      <c r="F88" s="117">
        <f t="shared" si="15"/>
        <v>1.0059880239520953</v>
      </c>
      <c r="G88" s="81">
        <f t="shared" si="12"/>
        <v>8.698404722330556E-33</v>
      </c>
      <c r="H88" s="81">
        <f t="shared" si="16"/>
        <v>7.428428301695051E-05</v>
      </c>
      <c r="I88" s="81">
        <f t="shared" si="13"/>
        <v>0</v>
      </c>
      <c r="J88" s="81">
        <f t="shared" si="14"/>
        <v>1</v>
      </c>
      <c r="K88" s="115"/>
      <c r="L88" s="1"/>
      <c r="M88" s="114">
        <v>6</v>
      </c>
      <c r="N88" s="117">
        <f>(SUM(B30:B34))/5</f>
        <v>1.214</v>
      </c>
      <c r="O88" s="81">
        <f t="shared" si="11"/>
        <v>0.007199999999999873</v>
      </c>
      <c r="P88" s="81"/>
      <c r="Q88" s="33"/>
      <c r="R88" s="3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</row>
    <row r="89" spans="1:31" s="35" customFormat="1" ht="15">
      <c r="A89" s="114"/>
      <c r="B89" s="81"/>
      <c r="C89" s="81"/>
      <c r="D89" s="81">
        <v>21</v>
      </c>
      <c r="E89" s="81"/>
      <c r="F89" s="117">
        <f t="shared" si="15"/>
        <v>1.0083832335329337</v>
      </c>
      <c r="G89" s="81">
        <f t="shared" si="12"/>
        <v>5.403822437876649E-32</v>
      </c>
      <c r="H89" s="81">
        <f t="shared" si="16"/>
        <v>9.925570462594563E-05</v>
      </c>
      <c r="I89" s="81">
        <f t="shared" si="13"/>
        <v>0</v>
      </c>
      <c r="J89" s="81">
        <f t="shared" si="14"/>
        <v>1</v>
      </c>
      <c r="K89" s="115"/>
      <c r="L89" s="1"/>
      <c r="M89" s="114">
        <v>7</v>
      </c>
      <c r="N89" s="117">
        <f>(SUM(B35:B39))/5</f>
        <v>1.204</v>
      </c>
      <c r="O89" s="81">
        <f>IF(N89&gt;0,N89-$Y$4,0)</f>
        <v>-0.0028000000000001357</v>
      </c>
      <c r="P89" s="81" t="s">
        <v>112</v>
      </c>
      <c r="Q89" s="33"/>
      <c r="R89" s="3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</row>
    <row r="90" spans="1:31" s="35" customFormat="1" ht="15">
      <c r="A90" s="114"/>
      <c r="B90" s="81"/>
      <c r="C90" s="81"/>
      <c r="D90" s="81">
        <v>22</v>
      </c>
      <c r="E90" s="81"/>
      <c r="F90" s="117">
        <f t="shared" si="15"/>
        <v>1.010778443113772</v>
      </c>
      <c r="G90" s="81">
        <f t="shared" si="12"/>
        <v>3.284309219855946E-31</v>
      </c>
      <c r="H90" s="81">
        <f t="shared" si="16"/>
        <v>0.0001321449459148075</v>
      </c>
      <c r="I90" s="81">
        <f t="shared" si="13"/>
        <v>0</v>
      </c>
      <c r="J90" s="81">
        <f t="shared" si="14"/>
        <v>1</v>
      </c>
      <c r="K90" s="115"/>
      <c r="L90" s="1"/>
      <c r="M90" s="114">
        <v>8</v>
      </c>
      <c r="N90" s="117">
        <f>(SUM(B40:B44))/5</f>
        <v>1.21</v>
      </c>
      <c r="O90" s="81">
        <f t="shared" si="11"/>
        <v>0.0031999999999998696</v>
      </c>
      <c r="P90" s="81" t="s">
        <v>113</v>
      </c>
      <c r="Q90" s="33"/>
      <c r="R90" s="3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</row>
    <row r="91" spans="1:31" s="35" customFormat="1" ht="15">
      <c r="A91" s="114"/>
      <c r="B91" s="81"/>
      <c r="C91" s="81"/>
      <c r="D91" s="81">
        <v>23</v>
      </c>
      <c r="E91" s="81"/>
      <c r="F91" s="117">
        <f t="shared" si="15"/>
        <v>1.0131736526946105</v>
      </c>
      <c r="G91" s="81">
        <f t="shared" si="12"/>
        <v>1.9528483469649247E-30</v>
      </c>
      <c r="H91" s="81">
        <f t="shared" si="16"/>
        <v>0.00017530010576340723</v>
      </c>
      <c r="I91" s="81">
        <f t="shared" si="13"/>
        <v>0</v>
      </c>
      <c r="J91" s="81">
        <f t="shared" si="14"/>
        <v>1</v>
      </c>
      <c r="K91" s="115"/>
      <c r="L91" s="1"/>
      <c r="M91" s="114">
        <v>9</v>
      </c>
      <c r="N91" s="117">
        <f>(SUM(B45:B49))/5</f>
        <v>1.206</v>
      </c>
      <c r="O91" s="81">
        <f t="shared" si="11"/>
        <v>-0.0008000000000001339</v>
      </c>
      <c r="P91" s="120" t="s">
        <v>114</v>
      </c>
      <c r="Q91" s="39">
        <f>SUMSQ(O83:O107)</f>
        <v>0.000329600000000003</v>
      </c>
      <c r="R91" s="3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</row>
    <row r="92" spans="1:31" s="35" customFormat="1" ht="15">
      <c r="A92" s="114"/>
      <c r="B92" s="81"/>
      <c r="C92" s="81"/>
      <c r="D92" s="81">
        <v>24</v>
      </c>
      <c r="E92" s="81"/>
      <c r="F92" s="117">
        <f t="shared" si="15"/>
        <v>1.0155688622754488</v>
      </c>
      <c r="G92" s="81">
        <f t="shared" si="12"/>
        <v>1.1359899968435982E-29</v>
      </c>
      <c r="H92" s="81">
        <f t="shared" si="16"/>
        <v>0.00023171296717918062</v>
      </c>
      <c r="I92" s="81">
        <f t="shared" si="13"/>
        <v>0</v>
      </c>
      <c r="J92" s="81">
        <f t="shared" si="14"/>
        <v>1</v>
      </c>
      <c r="K92" s="115"/>
      <c r="L92" s="1"/>
      <c r="M92" s="114">
        <v>10</v>
      </c>
      <c r="N92" s="117">
        <f>(SUM(B50:B54))/5</f>
        <v>1.204</v>
      </c>
      <c r="O92" s="81">
        <f t="shared" si="11"/>
        <v>-0.0028000000000001357</v>
      </c>
      <c r="P92" s="81" t="s">
        <v>115</v>
      </c>
      <c r="Q92" s="39">
        <f>SUMSQ(O108:O132)</f>
        <v>0</v>
      </c>
      <c r="R92" s="3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</row>
    <row r="93" spans="1:31" s="35" customFormat="1" ht="15">
      <c r="A93" s="114"/>
      <c r="B93" s="81"/>
      <c r="C93" s="81"/>
      <c r="D93" s="81">
        <v>25</v>
      </c>
      <c r="E93" s="81"/>
      <c r="F93" s="117">
        <f t="shared" si="15"/>
        <v>1.0179640718562872</v>
      </c>
      <c r="G93" s="81">
        <f t="shared" si="12"/>
        <v>6.464902888489886E-29</v>
      </c>
      <c r="H93" s="81">
        <f t="shared" si="16"/>
        <v>0.0003051792763554438</v>
      </c>
      <c r="I93" s="81">
        <f t="shared" si="13"/>
        <v>0</v>
      </c>
      <c r="J93" s="81">
        <f t="shared" si="14"/>
        <v>1</v>
      </c>
      <c r="K93" s="115"/>
      <c r="L93" s="1"/>
      <c r="M93" s="114">
        <v>11</v>
      </c>
      <c r="N93" s="117"/>
      <c r="O93" s="81">
        <f t="shared" si="11"/>
        <v>0</v>
      </c>
      <c r="P93" s="81"/>
      <c r="Q93" s="33"/>
      <c r="R93" s="3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</row>
    <row r="94" spans="1:31" s="35" customFormat="1" ht="15">
      <c r="A94" s="114"/>
      <c r="B94" s="81"/>
      <c r="C94" s="81"/>
      <c r="D94" s="81">
        <v>26</v>
      </c>
      <c r="E94" s="81"/>
      <c r="F94" s="117">
        <f t="shared" si="15"/>
        <v>1.0203592814371256</v>
      </c>
      <c r="G94" s="81">
        <f t="shared" si="12"/>
        <v>3.5994074711232383E-28</v>
      </c>
      <c r="H94" s="81">
        <f t="shared" si="16"/>
        <v>0.00040049424435439787</v>
      </c>
      <c r="I94" s="81">
        <f t="shared" si="13"/>
        <v>0</v>
      </c>
      <c r="J94" s="81">
        <f t="shared" si="14"/>
        <v>1</v>
      </c>
      <c r="K94" s="115"/>
      <c r="L94" s="1"/>
      <c r="M94" s="114">
        <v>12</v>
      </c>
      <c r="N94" s="117"/>
      <c r="O94" s="81">
        <f t="shared" si="11"/>
        <v>0</v>
      </c>
      <c r="P94" s="81" t="s">
        <v>116</v>
      </c>
      <c r="Q94" s="39">
        <f>SUM(Q91,Q92)</f>
        <v>0.000329600000000003</v>
      </c>
      <c r="R94" s="3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</row>
    <row r="95" spans="1:31" s="35" customFormat="1" ht="15">
      <c r="A95" s="114"/>
      <c r="B95" s="81"/>
      <c r="C95" s="81"/>
      <c r="D95" s="81">
        <v>27</v>
      </c>
      <c r="E95" s="81"/>
      <c r="F95" s="117">
        <f t="shared" si="15"/>
        <v>1.022754491017964</v>
      </c>
      <c r="G95" s="81">
        <f t="shared" si="12"/>
        <v>1.9605662926906394E-27</v>
      </c>
      <c r="H95" s="81">
        <f t="shared" si="16"/>
        <v>0.0005236897324225579</v>
      </c>
      <c r="I95" s="81">
        <f t="shared" si="13"/>
        <v>0</v>
      </c>
      <c r="J95" s="81">
        <f t="shared" si="14"/>
        <v>1</v>
      </c>
      <c r="K95" s="115"/>
      <c r="L95" s="1"/>
      <c r="M95" s="114">
        <v>13</v>
      </c>
      <c r="N95" s="117"/>
      <c r="O95" s="81">
        <f t="shared" si="11"/>
        <v>0</v>
      </c>
      <c r="P95" s="81"/>
      <c r="Q95" s="33"/>
      <c r="R95" s="3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</row>
    <row r="96" spans="1:31" s="35" customFormat="1" ht="15">
      <c r="A96" s="114"/>
      <c r="B96" s="81"/>
      <c r="C96" s="81"/>
      <c r="D96" s="81">
        <v>28</v>
      </c>
      <c r="E96" s="81"/>
      <c r="F96" s="117">
        <f t="shared" si="15"/>
        <v>1.0251497005988024</v>
      </c>
      <c r="G96" s="81">
        <f t="shared" si="12"/>
        <v>1.0447528375752711E-26</v>
      </c>
      <c r="H96" s="81">
        <f t="shared" si="16"/>
        <v>0.0006823204361692707</v>
      </c>
      <c r="I96" s="81">
        <f t="shared" si="13"/>
        <v>0</v>
      </c>
      <c r="J96" s="81">
        <f t="shared" si="14"/>
        <v>1</v>
      </c>
      <c r="K96" s="115"/>
      <c r="L96" s="1"/>
      <c r="M96" s="114">
        <v>14</v>
      </c>
      <c r="N96" s="117"/>
      <c r="O96" s="81">
        <f t="shared" si="11"/>
        <v>0</v>
      </c>
      <c r="P96" s="81"/>
      <c r="Q96" s="33"/>
      <c r="R96" s="3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</row>
    <row r="97" spans="1:31" s="35" customFormat="1" ht="15">
      <c r="A97" s="114"/>
      <c r="B97" s="81"/>
      <c r="C97" s="81"/>
      <c r="D97" s="81">
        <v>29</v>
      </c>
      <c r="E97" s="81"/>
      <c r="F97" s="117">
        <f t="shared" si="15"/>
        <v>1.0275449101796408</v>
      </c>
      <c r="G97" s="81">
        <f t="shared" si="12"/>
        <v>5.446620255025491E-26</v>
      </c>
      <c r="H97" s="81">
        <f t="shared" si="16"/>
        <v>0.0008858072669257349</v>
      </c>
      <c r="I97" s="81">
        <f t="shared" si="13"/>
        <v>0</v>
      </c>
      <c r="J97" s="81">
        <f t="shared" si="14"/>
        <v>1</v>
      </c>
      <c r="K97" s="115"/>
      <c r="L97" s="1"/>
      <c r="M97" s="114">
        <v>15</v>
      </c>
      <c r="N97" s="117"/>
      <c r="O97" s="81">
        <f t="shared" si="11"/>
        <v>0</v>
      </c>
      <c r="P97" s="81" t="s">
        <v>95</v>
      </c>
      <c r="Q97" s="33"/>
      <c r="R97" s="3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</row>
    <row r="98" spans="1:31" s="35" customFormat="1" ht="15">
      <c r="A98" s="114"/>
      <c r="B98" s="81"/>
      <c r="C98" s="81"/>
      <c r="D98" s="81">
        <v>30</v>
      </c>
      <c r="E98" s="81"/>
      <c r="F98" s="117">
        <f t="shared" si="15"/>
        <v>1.0299401197604792</v>
      </c>
      <c r="G98" s="81">
        <f t="shared" si="12"/>
        <v>2.777935411593667E-25</v>
      </c>
      <c r="H98" s="81">
        <f t="shared" si="16"/>
        <v>0.001145847016897571</v>
      </c>
      <c r="I98" s="81">
        <f t="shared" si="13"/>
        <v>0</v>
      </c>
      <c r="J98" s="81">
        <f t="shared" si="14"/>
        <v>1</v>
      </c>
      <c r="K98" s="115"/>
      <c r="L98" s="1"/>
      <c r="M98" s="114">
        <v>16</v>
      </c>
      <c r="N98" s="117"/>
      <c r="O98" s="81">
        <f t="shared" si="11"/>
        <v>0</v>
      </c>
      <c r="P98" s="120" t="s">
        <v>117</v>
      </c>
      <c r="Q98" s="39">
        <f>(COUNT(B4:B29))/5</f>
        <v>5</v>
      </c>
      <c r="R98" s="3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</row>
    <row r="99" spans="1:31" s="35" customFormat="1" ht="15">
      <c r="A99" s="114"/>
      <c r="B99" s="81"/>
      <c r="C99" s="81"/>
      <c r="D99" s="81">
        <v>31</v>
      </c>
      <c r="E99" s="81"/>
      <c r="F99" s="117">
        <f t="shared" si="15"/>
        <v>1.0323353293413176</v>
      </c>
      <c r="G99" s="81">
        <f t="shared" si="12"/>
        <v>1.3861132048329716E-24</v>
      </c>
      <c r="H99" s="81">
        <f t="shared" si="16"/>
        <v>0.0014768982569973968</v>
      </c>
      <c r="I99" s="81">
        <f t="shared" si="13"/>
        <v>0</v>
      </c>
      <c r="J99" s="81">
        <f t="shared" si="14"/>
        <v>1</v>
      </c>
      <c r="K99" s="115"/>
      <c r="L99" s="1"/>
      <c r="M99" s="114">
        <v>17</v>
      </c>
      <c r="N99" s="117"/>
      <c r="O99" s="81">
        <f aca="true" t="shared" si="17" ref="O99:O114">IF(N99&gt;0,N99-$Y$4,0)</f>
        <v>0</v>
      </c>
      <c r="P99" s="81" t="s">
        <v>115</v>
      </c>
      <c r="Q99" s="39">
        <f>COUNT(B30:B54)/5</f>
        <v>5</v>
      </c>
      <c r="R99" s="3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</row>
    <row r="100" spans="1:31" s="35" customFormat="1" ht="15">
      <c r="A100" s="114"/>
      <c r="B100" s="81"/>
      <c r="C100" s="81"/>
      <c r="D100" s="81">
        <v>32</v>
      </c>
      <c r="E100" s="81"/>
      <c r="F100" s="117">
        <f t="shared" si="15"/>
        <v>1.034730538922156</v>
      </c>
      <c r="G100" s="81">
        <f t="shared" si="12"/>
        <v>6.766385973215675E-24</v>
      </c>
      <c r="H100" s="81">
        <f t="shared" si="16"/>
        <v>0.0018967542127564902</v>
      </c>
      <c r="I100" s="81">
        <f t="shared" si="13"/>
        <v>0</v>
      </c>
      <c r="J100" s="81">
        <f t="shared" si="14"/>
        <v>1</v>
      </c>
      <c r="K100" s="115"/>
      <c r="L100" s="1"/>
      <c r="M100" s="114">
        <v>18</v>
      </c>
      <c r="N100" s="117"/>
      <c r="O100" s="81">
        <f t="shared" si="17"/>
        <v>0</v>
      </c>
      <c r="P100" s="81"/>
      <c r="Q100" s="33"/>
      <c r="R100" s="3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</row>
    <row r="101" spans="1:31" s="35" customFormat="1" ht="15">
      <c r="A101" s="114"/>
      <c r="B101" s="81"/>
      <c r="C101" s="81"/>
      <c r="D101" s="81">
        <v>33</v>
      </c>
      <c r="E101" s="81"/>
      <c r="F101" s="117">
        <f t="shared" si="15"/>
        <v>1.0371257485029943</v>
      </c>
      <c r="G101" s="81">
        <f t="shared" si="12"/>
        <v>3.231441840533012E-23</v>
      </c>
      <c r="H101" s="81">
        <f t="shared" si="16"/>
        <v>0.0024272140454238787</v>
      </c>
      <c r="I101" s="81">
        <f t="shared" si="13"/>
        <v>0</v>
      </c>
      <c r="J101" s="81">
        <f t="shared" si="14"/>
        <v>1</v>
      </c>
      <c r="K101" s="115"/>
      <c r="L101" s="1"/>
      <c r="M101" s="114">
        <v>19</v>
      </c>
      <c r="N101" s="117"/>
      <c r="O101" s="81">
        <f t="shared" si="17"/>
        <v>0</v>
      </c>
      <c r="P101" s="81" t="s">
        <v>116</v>
      </c>
      <c r="Q101" s="39">
        <f>SUM(Q98,Q99)</f>
        <v>10</v>
      </c>
      <c r="R101" s="3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</row>
    <row r="102" spans="1:31" s="35" customFormat="1" ht="15">
      <c r="A102" s="114"/>
      <c r="B102" s="81"/>
      <c r="C102" s="81"/>
      <c r="D102" s="81">
        <v>34</v>
      </c>
      <c r="E102" s="81"/>
      <c r="F102" s="117">
        <f t="shared" si="15"/>
        <v>1.0395209580838327</v>
      </c>
      <c r="G102" s="81">
        <f aca="true" t="shared" si="18" ref="G102:G117">1/($A$69*SQRT(2*3.14))*EXP(-((F102-$Y$4)*(F102-$Y$4))/(($A$69*$A$69)*2))</f>
        <v>1.5097930784225608E-22</v>
      </c>
      <c r="H102" s="81">
        <f t="shared" si="16"/>
        <v>0.0030948644733396423</v>
      </c>
      <c r="I102" s="81">
        <f aca="true" t="shared" si="19" ref="I102:I117">IF(OR(J102-J101=1,J102-J101=-1),$R$148,0)</f>
        <v>0</v>
      </c>
      <c r="J102" s="81">
        <f aca="true" t="shared" si="20" ref="J102:J117">IF(OR(F102&lt;$AB$6,F102&gt;$AB$7),0,1)</f>
        <v>1</v>
      </c>
      <c r="K102" s="115"/>
      <c r="L102" s="1"/>
      <c r="M102" s="114">
        <v>20</v>
      </c>
      <c r="N102" s="117"/>
      <c r="O102" s="81">
        <f t="shared" si="17"/>
        <v>0</v>
      </c>
      <c r="P102" s="81"/>
      <c r="Q102" s="33"/>
      <c r="R102" s="3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</row>
    <row r="103" spans="1:31" s="35" customFormat="1" ht="15">
      <c r="A103" s="114"/>
      <c r="B103" s="81"/>
      <c r="C103" s="81"/>
      <c r="D103" s="81">
        <v>35</v>
      </c>
      <c r="E103" s="81"/>
      <c r="F103" s="117">
        <f aca="true" t="shared" si="21" ref="F103:F118">F102+$P$68</f>
        <v>1.041916167664671</v>
      </c>
      <c r="G103" s="81">
        <f t="shared" si="18"/>
        <v>6.901127098631887E-22</v>
      </c>
      <c r="H103" s="81">
        <f aca="true" t="shared" si="22" ref="H103:H118">1/($AB$5*SQRT(2*3.14))*EXP(-((F103-$AB$4)*(F103-$AB$4))/(($AB$5*$AB$5)*2))</f>
        <v>0.003931983933833965</v>
      </c>
      <c r="I103" s="81">
        <f t="shared" si="19"/>
        <v>0</v>
      </c>
      <c r="J103" s="81">
        <f t="shared" si="20"/>
        <v>1</v>
      </c>
      <c r="K103" s="115"/>
      <c r="L103" s="1"/>
      <c r="M103" s="114">
        <v>21</v>
      </c>
      <c r="N103" s="117"/>
      <c r="O103" s="81">
        <f t="shared" si="17"/>
        <v>0</v>
      </c>
      <c r="P103" s="81"/>
      <c r="Q103" s="33"/>
      <c r="R103" s="3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</row>
    <row r="104" spans="1:31" s="35" customFormat="1" ht="15">
      <c r="A104" s="114"/>
      <c r="B104" s="81"/>
      <c r="C104" s="81"/>
      <c r="D104" s="81">
        <v>36</v>
      </c>
      <c r="E104" s="81"/>
      <c r="F104" s="117">
        <f t="shared" si="21"/>
        <v>1.0443113772455095</v>
      </c>
      <c r="G104" s="81">
        <f t="shared" si="18"/>
        <v>3.086058337665932E-21</v>
      </c>
      <c r="H104" s="81">
        <f t="shared" si="22"/>
        <v>0.004977581429165404</v>
      </c>
      <c r="I104" s="81">
        <f t="shared" si="19"/>
        <v>0</v>
      </c>
      <c r="J104" s="81">
        <f t="shared" si="20"/>
        <v>1</v>
      </c>
      <c r="K104" s="115"/>
      <c r="L104" s="1"/>
      <c r="M104" s="114">
        <v>22</v>
      </c>
      <c r="N104" s="117"/>
      <c r="O104" s="81">
        <f t="shared" si="17"/>
        <v>0</v>
      </c>
      <c r="P104" s="81" t="s">
        <v>36</v>
      </c>
      <c r="Q104" s="33"/>
      <c r="R104" s="3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</row>
    <row r="105" spans="1:31" s="35" customFormat="1" ht="15">
      <c r="A105" s="114"/>
      <c r="B105" s="81"/>
      <c r="C105" s="81"/>
      <c r="D105" s="81">
        <v>37</v>
      </c>
      <c r="E105" s="81"/>
      <c r="F105" s="117">
        <f t="shared" si="21"/>
        <v>1.0467065868263479</v>
      </c>
      <c r="G105" s="81">
        <f t="shared" si="18"/>
        <v>1.3501118431692813E-20</v>
      </c>
      <c r="H105" s="81">
        <f t="shared" si="22"/>
        <v>0.006278581732953367</v>
      </c>
      <c r="I105" s="81">
        <f t="shared" si="19"/>
        <v>0</v>
      </c>
      <c r="J105" s="81">
        <f t="shared" si="20"/>
        <v>1</v>
      </c>
      <c r="K105" s="115"/>
      <c r="L105" s="1"/>
      <c r="M105" s="114">
        <v>23</v>
      </c>
      <c r="N105" s="117"/>
      <c r="O105" s="81">
        <f t="shared" si="17"/>
        <v>0</v>
      </c>
      <c r="P105" s="81" t="s">
        <v>117</v>
      </c>
      <c r="Q105" s="36">
        <f>MAX(B5:B29)</f>
        <v>1.3</v>
      </c>
      <c r="R105" s="3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</row>
    <row r="106" spans="1:31" s="35" customFormat="1" ht="15">
      <c r="A106" s="114"/>
      <c r="B106" s="81"/>
      <c r="C106" s="81"/>
      <c r="D106" s="81">
        <v>38</v>
      </c>
      <c r="E106" s="81"/>
      <c r="F106" s="117">
        <f t="shared" si="21"/>
        <v>1.0491017964071863</v>
      </c>
      <c r="G106" s="81">
        <f t="shared" si="18"/>
        <v>5.778523343299595E-20</v>
      </c>
      <c r="H106" s="81">
        <f t="shared" si="22"/>
        <v>0.007891167659760055</v>
      </c>
      <c r="I106" s="81">
        <f t="shared" si="19"/>
        <v>0</v>
      </c>
      <c r="J106" s="81">
        <f t="shared" si="20"/>
        <v>1</v>
      </c>
      <c r="K106" s="115"/>
      <c r="L106" s="1"/>
      <c r="M106" s="114">
        <v>24</v>
      </c>
      <c r="N106" s="117"/>
      <c r="O106" s="81">
        <f t="shared" si="17"/>
        <v>0</v>
      </c>
      <c r="P106" s="81" t="s">
        <v>118</v>
      </c>
      <c r="Q106" s="36">
        <f>MAX(B30:B54)</f>
        <v>1.23</v>
      </c>
      <c r="R106" s="3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</row>
    <row r="107" spans="1:31" s="35" customFormat="1" ht="15">
      <c r="A107" s="114"/>
      <c r="B107" s="81"/>
      <c r="C107" s="81"/>
      <c r="D107" s="81">
        <v>39</v>
      </c>
      <c r="E107" s="81"/>
      <c r="F107" s="117">
        <f t="shared" si="21"/>
        <v>1.0514970059880246</v>
      </c>
      <c r="G107" s="81">
        <f t="shared" si="18"/>
        <v>2.419610758499565E-19</v>
      </c>
      <c r="H107" s="81">
        <f t="shared" si="22"/>
        <v>0.009882288517596158</v>
      </c>
      <c r="I107" s="81">
        <f t="shared" si="19"/>
        <v>0</v>
      </c>
      <c r="J107" s="81">
        <f t="shared" si="20"/>
        <v>1</v>
      </c>
      <c r="K107" s="115"/>
      <c r="L107" s="1"/>
      <c r="M107" s="114">
        <v>25</v>
      </c>
      <c r="N107" s="117"/>
      <c r="O107" s="81">
        <f t="shared" si="17"/>
        <v>0</v>
      </c>
      <c r="P107" s="81" t="s">
        <v>119</v>
      </c>
      <c r="Q107" s="36">
        <f>MAX(Q105,Q106)</f>
        <v>1.3</v>
      </c>
      <c r="R107" s="3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</row>
    <row r="108" spans="1:31" s="35" customFormat="1" ht="15">
      <c r="A108" s="114"/>
      <c r="B108" s="81"/>
      <c r="C108" s="81"/>
      <c r="D108" s="81">
        <v>40</v>
      </c>
      <c r="E108" s="81"/>
      <c r="F108" s="117">
        <f t="shared" si="21"/>
        <v>1.053892215568863</v>
      </c>
      <c r="G108" s="81">
        <f t="shared" si="18"/>
        <v>9.911871234657667E-19</v>
      </c>
      <c r="H108" s="81">
        <f t="shared" si="22"/>
        <v>0.012331341565842494</v>
      </c>
      <c r="I108" s="81">
        <f t="shared" si="19"/>
        <v>0</v>
      </c>
      <c r="J108" s="81">
        <f t="shared" si="20"/>
        <v>1</v>
      </c>
      <c r="K108" s="115"/>
      <c r="L108" s="1"/>
      <c r="M108" s="114">
        <v>26</v>
      </c>
      <c r="N108" s="117"/>
      <c r="O108" s="81">
        <f t="shared" si="17"/>
        <v>0</v>
      </c>
      <c r="P108" s="81"/>
      <c r="Q108" s="33"/>
      <c r="R108" s="3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</row>
    <row r="109" spans="1:31" s="35" customFormat="1" ht="15">
      <c r="A109" s="114"/>
      <c r="B109" s="81"/>
      <c r="C109" s="81"/>
      <c r="D109" s="81">
        <v>41</v>
      </c>
      <c r="E109" s="81"/>
      <c r="F109" s="117">
        <f t="shared" si="21"/>
        <v>1.0562874251497014</v>
      </c>
      <c r="G109" s="81">
        <f t="shared" si="18"/>
        <v>3.972348161820167E-18</v>
      </c>
      <c r="H109" s="81">
        <f t="shared" si="22"/>
        <v>0.015332030184977152</v>
      </c>
      <c r="I109" s="81">
        <f t="shared" si="19"/>
        <v>0</v>
      </c>
      <c r="J109" s="81">
        <f t="shared" si="20"/>
        <v>1</v>
      </c>
      <c r="K109" s="115"/>
      <c r="L109" s="1"/>
      <c r="M109" s="114">
        <v>27</v>
      </c>
      <c r="N109" s="117"/>
      <c r="O109" s="81">
        <f t="shared" si="17"/>
        <v>0</v>
      </c>
      <c r="P109" s="81" t="s">
        <v>45</v>
      </c>
      <c r="Q109" s="33"/>
      <c r="R109" s="3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</row>
    <row r="110" spans="1:31" s="35" customFormat="1" ht="15">
      <c r="A110" s="114"/>
      <c r="B110" s="81"/>
      <c r="C110" s="81"/>
      <c r="D110" s="81">
        <v>42</v>
      </c>
      <c r="E110" s="81"/>
      <c r="F110" s="117">
        <f t="shared" si="21"/>
        <v>1.0586826347305398</v>
      </c>
      <c r="G110" s="81">
        <f t="shared" si="18"/>
        <v>1.557472796801604E-17</v>
      </c>
      <c r="H110" s="81">
        <f t="shared" si="22"/>
        <v>0.018994398430913367</v>
      </c>
      <c r="I110" s="81">
        <f t="shared" si="19"/>
        <v>0</v>
      </c>
      <c r="J110" s="81">
        <f t="shared" si="20"/>
        <v>1</v>
      </c>
      <c r="K110" s="115"/>
      <c r="L110" s="1"/>
      <c r="M110" s="114">
        <v>28</v>
      </c>
      <c r="N110" s="117"/>
      <c r="O110" s="81">
        <f t="shared" si="17"/>
        <v>0</v>
      </c>
      <c r="P110" s="81" t="s">
        <v>117</v>
      </c>
      <c r="Q110" s="36">
        <f>MIN(B5:B29)</f>
        <v>1.2</v>
      </c>
      <c r="R110" s="3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</row>
    <row r="111" spans="1:31" s="35" customFormat="1" ht="15">
      <c r="A111" s="114"/>
      <c r="B111" s="81"/>
      <c r="C111" s="81"/>
      <c r="D111" s="81">
        <v>43</v>
      </c>
      <c r="E111" s="81"/>
      <c r="F111" s="117">
        <f t="shared" si="21"/>
        <v>1.0610778443113782</v>
      </c>
      <c r="G111" s="81">
        <f t="shared" si="18"/>
        <v>5.974136532738107E-17</v>
      </c>
      <c r="H111" s="81">
        <f t="shared" si="22"/>
        <v>0.023447036608637263</v>
      </c>
      <c r="I111" s="81">
        <f t="shared" si="19"/>
        <v>0</v>
      </c>
      <c r="J111" s="81">
        <f t="shared" si="20"/>
        <v>1</v>
      </c>
      <c r="K111" s="115"/>
      <c r="L111" s="1"/>
      <c r="M111" s="114">
        <v>29</v>
      </c>
      <c r="N111" s="117"/>
      <c r="O111" s="81">
        <f t="shared" si="17"/>
        <v>0</v>
      </c>
      <c r="P111" s="81" t="s">
        <v>118</v>
      </c>
      <c r="Q111" s="36">
        <f>MIN(B30:B54)</f>
        <v>1.2</v>
      </c>
      <c r="R111" s="3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</row>
    <row r="112" spans="1:31" s="35" customFormat="1" ht="15">
      <c r="A112" s="114"/>
      <c r="B112" s="81"/>
      <c r="C112" s="81"/>
      <c r="D112" s="81">
        <v>44</v>
      </c>
      <c r="E112" s="81"/>
      <c r="F112" s="117">
        <f t="shared" si="21"/>
        <v>1.0634730538922166</v>
      </c>
      <c r="G112" s="81">
        <f t="shared" si="18"/>
        <v>2.2418746556281573E-16</v>
      </c>
      <c r="H112" s="81">
        <f t="shared" si="22"/>
        <v>0.02883944638852924</v>
      </c>
      <c r="I112" s="81">
        <f t="shared" si="19"/>
        <v>0</v>
      </c>
      <c r="J112" s="81">
        <f t="shared" si="20"/>
        <v>1</v>
      </c>
      <c r="K112" s="115"/>
      <c r="L112" s="1"/>
      <c r="M112" s="114">
        <v>30</v>
      </c>
      <c r="N112" s="117"/>
      <c r="O112" s="81">
        <f t="shared" si="17"/>
        <v>0</v>
      </c>
      <c r="P112" s="81" t="s">
        <v>119</v>
      </c>
      <c r="Q112" s="36">
        <f>IF($Q111=0,MAX(Q110:Q111),MIN(Q110:Q111))</f>
        <v>1.2</v>
      </c>
      <c r="R112" s="3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</row>
    <row r="113" spans="1:31" s="35" customFormat="1" ht="15">
      <c r="A113" s="114"/>
      <c r="B113" s="81"/>
      <c r="C113" s="81"/>
      <c r="D113" s="81">
        <v>45</v>
      </c>
      <c r="E113" s="81"/>
      <c r="F113" s="117">
        <f t="shared" si="21"/>
        <v>1.065868263473055</v>
      </c>
      <c r="G113" s="81">
        <f t="shared" si="18"/>
        <v>8.230553090212771E-16</v>
      </c>
      <c r="H113" s="81">
        <f t="shared" si="22"/>
        <v>0.03534454676160498</v>
      </c>
      <c r="I113" s="81">
        <f t="shared" si="19"/>
        <v>0</v>
      </c>
      <c r="J113" s="81">
        <f t="shared" si="20"/>
        <v>1</v>
      </c>
      <c r="K113" s="115"/>
      <c r="L113" s="1"/>
      <c r="M113" s="114">
        <v>31</v>
      </c>
      <c r="N113" s="117"/>
      <c r="O113" s="81">
        <f t="shared" si="17"/>
        <v>0</v>
      </c>
      <c r="P113" s="81"/>
      <c r="Q113" s="33"/>
      <c r="R113" s="3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</row>
    <row r="114" spans="1:31" s="35" customFormat="1" ht="15">
      <c r="A114" s="114"/>
      <c r="B114" s="81"/>
      <c r="C114" s="81"/>
      <c r="D114" s="81">
        <v>46</v>
      </c>
      <c r="E114" s="81"/>
      <c r="F114" s="117">
        <f t="shared" si="21"/>
        <v>1.0682634730538934</v>
      </c>
      <c r="G114" s="81">
        <f t="shared" si="18"/>
        <v>2.956161956666294E-15</v>
      </c>
      <c r="H114" s="81">
        <f t="shared" si="22"/>
        <v>0.043161293778506436</v>
      </c>
      <c r="I114" s="81">
        <f t="shared" si="19"/>
        <v>0</v>
      </c>
      <c r="J114" s="81">
        <f t="shared" si="20"/>
        <v>1</v>
      </c>
      <c r="K114" s="115"/>
      <c r="L114" s="1"/>
      <c r="M114" s="114">
        <v>32</v>
      </c>
      <c r="N114" s="117"/>
      <c r="O114" s="81">
        <f t="shared" si="17"/>
        <v>0</v>
      </c>
      <c r="P114" s="81"/>
      <c r="Q114" s="33"/>
      <c r="R114" s="3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</row>
    <row r="115" spans="1:31" s="35" customFormat="1" ht="15">
      <c r="A115" s="114"/>
      <c r="B115" s="81"/>
      <c r="C115" s="81"/>
      <c r="D115" s="81">
        <v>47</v>
      </c>
      <c r="E115" s="81"/>
      <c r="F115" s="117">
        <f t="shared" si="21"/>
        <v>1.0706586826347317</v>
      </c>
      <c r="G115" s="81">
        <f t="shared" si="18"/>
        <v>1.038744976493962E-14</v>
      </c>
      <c r="H115" s="81">
        <f t="shared" si="22"/>
        <v>0.0525173775758295</v>
      </c>
      <c r="I115" s="81">
        <f t="shared" si="19"/>
        <v>0</v>
      </c>
      <c r="J115" s="81">
        <f t="shared" si="20"/>
        <v>1</v>
      </c>
      <c r="K115" s="115"/>
      <c r="L115" s="1"/>
      <c r="M115" s="114">
        <v>33</v>
      </c>
      <c r="N115" s="117"/>
      <c r="O115" s="81">
        <f aca="true" t="shared" si="23" ref="O115:O130">IF(N115&gt;0,N115-$Y$4,0)</f>
        <v>0</v>
      </c>
      <c r="P115" s="81"/>
      <c r="Q115" s="33"/>
      <c r="R115" s="3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</row>
    <row r="116" spans="1:31" s="35" customFormat="1" ht="15">
      <c r="A116" s="114"/>
      <c r="B116" s="81"/>
      <c r="C116" s="81"/>
      <c r="D116" s="81">
        <v>48</v>
      </c>
      <c r="E116" s="81"/>
      <c r="F116" s="117">
        <f t="shared" si="21"/>
        <v>1.0730538922155701</v>
      </c>
      <c r="G116" s="81">
        <f t="shared" si="18"/>
        <v>3.5708463147279245E-14</v>
      </c>
      <c r="H116" s="81">
        <f t="shared" si="22"/>
        <v>0.06367194974813618</v>
      </c>
      <c r="I116" s="81">
        <f t="shared" si="19"/>
        <v>0</v>
      </c>
      <c r="J116" s="81">
        <f t="shared" si="20"/>
        <v>1</v>
      </c>
      <c r="K116" s="115"/>
      <c r="L116" s="1"/>
      <c r="M116" s="114">
        <v>34</v>
      </c>
      <c r="N116" s="117"/>
      <c r="O116" s="81">
        <f t="shared" si="23"/>
        <v>0</v>
      </c>
      <c r="P116" s="81"/>
      <c r="Q116" s="33"/>
      <c r="R116" s="3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</row>
    <row r="117" spans="1:31" s="35" customFormat="1" ht="15">
      <c r="A117" s="114"/>
      <c r="B117" s="81"/>
      <c r="C117" s="81"/>
      <c r="D117" s="81">
        <v>49</v>
      </c>
      <c r="E117" s="81"/>
      <c r="F117" s="117">
        <f t="shared" si="21"/>
        <v>1.0754491017964085</v>
      </c>
      <c r="G117" s="81">
        <f t="shared" si="18"/>
        <v>1.2009222502071866E-13</v>
      </c>
      <c r="H117" s="81">
        <f t="shared" si="22"/>
        <v>0.07691832282018217</v>
      </c>
      <c r="I117" s="81">
        <f t="shared" si="19"/>
        <v>0</v>
      </c>
      <c r="J117" s="81">
        <f t="shared" si="20"/>
        <v>1</v>
      </c>
      <c r="K117" s="115"/>
      <c r="L117" s="1"/>
      <c r="M117" s="114">
        <v>35</v>
      </c>
      <c r="N117" s="117"/>
      <c r="O117" s="81">
        <f t="shared" si="23"/>
        <v>0</v>
      </c>
      <c r="P117" s="81"/>
      <c r="Q117" s="33"/>
      <c r="R117" s="3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</row>
    <row r="118" spans="1:31" s="35" customFormat="1" ht="15">
      <c r="A118" s="114"/>
      <c r="B118" s="81"/>
      <c r="C118" s="81"/>
      <c r="D118" s="81">
        <v>50</v>
      </c>
      <c r="E118" s="81"/>
      <c r="F118" s="117">
        <f t="shared" si="21"/>
        <v>1.077844311377247</v>
      </c>
      <c r="G118" s="81">
        <f aca="true" t="shared" si="24" ref="G118:G133">1/($A$69*SQRT(2*3.14))*EXP(-((F118-$Y$4)*(F118-$Y$4))/(($A$69*$A$69)*2))</f>
        <v>3.951301172738208E-13</v>
      </c>
      <c r="H118" s="81">
        <f t="shared" si="22"/>
        <v>0.09258657162364954</v>
      </c>
      <c r="I118" s="81">
        <f aca="true" t="shared" si="25" ref="I118:I133">IF(OR(J118-J117=1,J118-J117=-1),$R$148,0)</f>
        <v>0</v>
      </c>
      <c r="J118" s="81">
        <f aca="true" t="shared" si="26" ref="J118:J133">IF(OR(F118&lt;$AB$6,F118&gt;$AB$7),0,1)</f>
        <v>1</v>
      </c>
      <c r="K118" s="115"/>
      <c r="L118" s="1"/>
      <c r="M118" s="114">
        <v>36</v>
      </c>
      <c r="N118" s="117"/>
      <c r="O118" s="81">
        <f t="shared" si="23"/>
        <v>0</v>
      </c>
      <c r="P118" s="81"/>
      <c r="Q118" s="33"/>
      <c r="R118" s="3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</row>
    <row r="119" spans="1:31" s="35" customFormat="1" ht="15">
      <c r="A119" s="114"/>
      <c r="B119" s="81"/>
      <c r="C119" s="81"/>
      <c r="D119" s="81">
        <v>51</v>
      </c>
      <c r="E119" s="81"/>
      <c r="F119" s="117">
        <f aca="true" t="shared" si="27" ref="F119:F134">F118+$P$68</f>
        <v>1.0802395209580853</v>
      </c>
      <c r="G119" s="81">
        <f t="shared" si="24"/>
        <v>1.2718821875219997E-12</v>
      </c>
      <c r="H119" s="81">
        <f aca="true" t="shared" si="28" ref="H119:H134">1/($AB$5*SQRT(2*3.14))*EXP(-((F119-$AB$4)*(F119-$AB$4))/(($AB$5*$AB$5)*2))</f>
        <v>0.11104595407052406</v>
      </c>
      <c r="I119" s="81">
        <f t="shared" si="25"/>
        <v>0</v>
      </c>
      <c r="J119" s="81">
        <f t="shared" si="26"/>
        <v>1</v>
      </c>
      <c r="K119" s="115"/>
      <c r="L119" s="1"/>
      <c r="M119" s="114">
        <v>37</v>
      </c>
      <c r="N119" s="117"/>
      <c r="O119" s="81">
        <f t="shared" si="23"/>
        <v>0</v>
      </c>
      <c r="P119" s="81"/>
      <c r="Q119" s="33"/>
      <c r="R119" s="3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</row>
    <row r="120" spans="1:31" s="35" customFormat="1" ht="15">
      <c r="A120" s="114"/>
      <c r="B120" s="81"/>
      <c r="C120" s="81"/>
      <c r="D120" s="81">
        <v>52</v>
      </c>
      <c r="E120" s="81"/>
      <c r="F120" s="117">
        <f t="shared" si="27"/>
        <v>1.0826347305389237</v>
      </c>
      <c r="G120" s="81">
        <f t="shared" si="24"/>
        <v>4.005300885823076E-12</v>
      </c>
      <c r="H120" s="81">
        <f t="shared" si="28"/>
        <v>0.13270705650147535</v>
      </c>
      <c r="I120" s="81">
        <f t="shared" si="25"/>
        <v>0</v>
      </c>
      <c r="J120" s="81">
        <f t="shared" si="26"/>
        <v>1</v>
      </c>
      <c r="K120" s="115"/>
      <c r="L120" s="1"/>
      <c r="M120" s="114">
        <v>38</v>
      </c>
      <c r="N120" s="117"/>
      <c r="O120" s="81">
        <f t="shared" si="23"/>
        <v>0</v>
      </c>
      <c r="P120" s="81"/>
      <c r="Q120" s="33"/>
      <c r="R120" s="3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</row>
    <row r="121" spans="1:31" s="35" customFormat="1" ht="15">
      <c r="A121" s="114"/>
      <c r="B121" s="81"/>
      <c r="C121" s="81"/>
      <c r="D121" s="81">
        <v>53</v>
      </c>
      <c r="E121" s="81"/>
      <c r="F121" s="117">
        <f t="shared" si="27"/>
        <v>1.085029940119762</v>
      </c>
      <c r="G121" s="81">
        <f t="shared" si="24"/>
        <v>1.2339708995189734E-11</v>
      </c>
      <c r="H121" s="81">
        <f t="shared" si="28"/>
        <v>0.1580235569088114</v>
      </c>
      <c r="I121" s="81">
        <f t="shared" si="25"/>
        <v>0</v>
      </c>
      <c r="J121" s="81">
        <f t="shared" si="26"/>
        <v>1</v>
      </c>
      <c r="K121" s="115"/>
      <c r="L121" s="1"/>
      <c r="M121" s="114">
        <v>39</v>
      </c>
      <c r="N121" s="117"/>
      <c r="O121" s="81">
        <f t="shared" si="23"/>
        <v>0</v>
      </c>
      <c r="P121" s="81"/>
      <c r="Q121" s="33"/>
      <c r="R121" s="3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</row>
    <row r="122" spans="1:31" s="35" customFormat="1" ht="15">
      <c r="A122" s="114"/>
      <c r="B122" s="81"/>
      <c r="C122" s="81"/>
      <c r="D122" s="81">
        <v>54</v>
      </c>
      <c r="E122" s="81"/>
      <c r="F122" s="117">
        <f t="shared" si="27"/>
        <v>1.0874251497006004</v>
      </c>
      <c r="G122" s="81">
        <f t="shared" si="24"/>
        <v>3.719257084648074E-11</v>
      </c>
      <c r="H122" s="81">
        <f t="shared" si="28"/>
        <v>0.18749348839981111</v>
      </c>
      <c r="I122" s="81">
        <f t="shared" si="25"/>
        <v>0</v>
      </c>
      <c r="J122" s="81">
        <f t="shared" si="26"/>
        <v>1</v>
      </c>
      <c r="K122" s="115"/>
      <c r="L122" s="1"/>
      <c r="M122" s="114">
        <v>40</v>
      </c>
      <c r="N122" s="117"/>
      <c r="O122" s="81">
        <f t="shared" si="23"/>
        <v>0</v>
      </c>
      <c r="P122" s="81"/>
      <c r="Q122" s="33"/>
      <c r="R122" s="3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</row>
    <row r="123" spans="1:31" s="35" customFormat="1" ht="15">
      <c r="A123" s="114"/>
      <c r="B123" s="81"/>
      <c r="C123" s="81"/>
      <c r="D123" s="81">
        <v>55</v>
      </c>
      <c r="E123" s="81"/>
      <c r="F123" s="117">
        <f t="shared" si="27"/>
        <v>1.0898203592814388</v>
      </c>
      <c r="G123" s="81">
        <f t="shared" si="24"/>
        <v>1.0967028945326826E-10</v>
      </c>
      <c r="H123" s="81">
        <f t="shared" si="28"/>
        <v>0.22165987585393662</v>
      </c>
      <c r="I123" s="81">
        <f t="shared" si="25"/>
        <v>0</v>
      </c>
      <c r="J123" s="81">
        <f t="shared" si="26"/>
        <v>1</v>
      </c>
      <c r="K123" s="115"/>
      <c r="L123" s="1"/>
      <c r="M123" s="114">
        <v>41</v>
      </c>
      <c r="N123" s="117"/>
      <c r="O123" s="81">
        <f t="shared" si="23"/>
        <v>0</v>
      </c>
      <c r="P123" s="81"/>
      <c r="Q123" s="33"/>
      <c r="R123" s="3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</row>
    <row r="124" spans="1:31" s="35" customFormat="1" ht="15">
      <c r="A124" s="114"/>
      <c r="B124" s="81"/>
      <c r="C124" s="81"/>
      <c r="D124" s="81">
        <v>56</v>
      </c>
      <c r="E124" s="81"/>
      <c r="F124" s="117">
        <f t="shared" si="27"/>
        <v>1.0922155688622772</v>
      </c>
      <c r="G124" s="81">
        <f t="shared" si="24"/>
        <v>3.1637582466915966E-10</v>
      </c>
      <c r="H124" s="81">
        <f t="shared" si="28"/>
        <v>0.2611106114679303</v>
      </c>
      <c r="I124" s="81">
        <f t="shared" si="25"/>
        <v>0</v>
      </c>
      <c r="J124" s="81">
        <f t="shared" si="26"/>
        <v>1</v>
      </c>
      <c r="K124" s="115"/>
      <c r="L124" s="1"/>
      <c r="M124" s="114">
        <v>42</v>
      </c>
      <c r="N124" s="117"/>
      <c r="O124" s="81">
        <f t="shared" si="23"/>
        <v>0</v>
      </c>
      <c r="P124" s="81"/>
      <c r="Q124" s="33"/>
      <c r="R124" s="3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</row>
    <row r="125" spans="1:31" s="35" customFormat="1" ht="15">
      <c r="A125" s="114"/>
      <c r="B125" s="81"/>
      <c r="C125" s="81"/>
      <c r="D125" s="81">
        <v>57</v>
      </c>
      <c r="E125" s="81"/>
      <c r="F125" s="117">
        <f t="shared" si="27"/>
        <v>1.0946107784431156</v>
      </c>
      <c r="G125" s="81">
        <f t="shared" si="24"/>
        <v>8.928923466183386E-10</v>
      </c>
      <c r="H125" s="81">
        <f t="shared" si="28"/>
        <v>0.3064774304458847</v>
      </c>
      <c r="I125" s="81">
        <f t="shared" si="25"/>
        <v>0</v>
      </c>
      <c r="J125" s="81">
        <f t="shared" si="26"/>
        <v>1</v>
      </c>
      <c r="K125" s="115"/>
      <c r="L125" s="1"/>
      <c r="M125" s="114">
        <v>43</v>
      </c>
      <c r="N125" s="117"/>
      <c r="O125" s="81">
        <f t="shared" si="23"/>
        <v>0</v>
      </c>
      <c r="P125" s="81"/>
      <c r="Q125" s="33"/>
      <c r="R125" s="3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</row>
    <row r="126" spans="1:31" s="35" customFormat="1" ht="15">
      <c r="A126" s="114"/>
      <c r="B126" s="81"/>
      <c r="C126" s="81"/>
      <c r="D126" s="81">
        <v>58</v>
      </c>
      <c r="E126" s="81"/>
      <c r="F126" s="117">
        <f t="shared" si="27"/>
        <v>1.097005988023954</v>
      </c>
      <c r="G126" s="81">
        <f t="shared" si="24"/>
        <v>2.4653377194828813E-09</v>
      </c>
      <c r="H126" s="81">
        <f t="shared" si="28"/>
        <v>0.3584338471639107</v>
      </c>
      <c r="I126" s="81">
        <f t="shared" si="25"/>
        <v>0</v>
      </c>
      <c r="J126" s="81">
        <f t="shared" si="26"/>
        <v>1</v>
      </c>
      <c r="K126" s="115"/>
      <c r="L126" s="1"/>
      <c r="M126" s="114">
        <v>44</v>
      </c>
      <c r="N126" s="117"/>
      <c r="O126" s="81">
        <f t="shared" si="23"/>
        <v>0</v>
      </c>
      <c r="P126" s="81"/>
      <c r="Q126" s="33"/>
      <c r="R126" s="3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</row>
    <row r="127" spans="1:31" s="35" customFormat="1" ht="15">
      <c r="A127" s="114"/>
      <c r="B127" s="81"/>
      <c r="C127" s="81"/>
      <c r="D127" s="81">
        <v>59</v>
      </c>
      <c r="E127" s="81"/>
      <c r="F127" s="117">
        <f t="shared" si="27"/>
        <v>1.0994011976047924</v>
      </c>
      <c r="G127" s="81">
        <f t="shared" si="24"/>
        <v>6.659402275298825E-09</v>
      </c>
      <c r="H127" s="81">
        <f t="shared" si="28"/>
        <v>0.41769191539864936</v>
      </c>
      <c r="I127" s="81">
        <f t="shared" si="25"/>
        <v>0</v>
      </c>
      <c r="J127" s="81">
        <f t="shared" si="26"/>
        <v>1</v>
      </c>
      <c r="K127" s="115"/>
      <c r="L127" s="1"/>
      <c r="M127" s="114">
        <v>45</v>
      </c>
      <c r="N127" s="117"/>
      <c r="O127" s="81">
        <f t="shared" si="23"/>
        <v>0</v>
      </c>
      <c r="P127" s="81"/>
      <c r="Q127" s="33"/>
      <c r="R127" s="3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</row>
    <row r="128" spans="1:31" s="35" customFormat="1" ht="15">
      <c r="A128" s="114"/>
      <c r="B128" s="81"/>
      <c r="C128" s="81"/>
      <c r="D128" s="81">
        <v>60</v>
      </c>
      <c r="E128" s="81"/>
      <c r="F128" s="117">
        <f t="shared" si="27"/>
        <v>1.1017964071856308</v>
      </c>
      <c r="G128" s="81">
        <f t="shared" si="24"/>
        <v>1.7598497452532857E-08</v>
      </c>
      <c r="H128" s="81">
        <f t="shared" si="28"/>
        <v>0.4849976842932946</v>
      </c>
      <c r="I128" s="81">
        <f t="shared" si="25"/>
        <v>0</v>
      </c>
      <c r="J128" s="81">
        <f t="shared" si="26"/>
        <v>1</v>
      </c>
      <c r="K128" s="115"/>
      <c r="L128" s="1"/>
      <c r="M128" s="114">
        <v>46</v>
      </c>
      <c r="N128" s="117"/>
      <c r="O128" s="81">
        <f t="shared" si="23"/>
        <v>0</v>
      </c>
      <c r="P128" s="81"/>
      <c r="Q128" s="33"/>
      <c r="R128" s="3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</row>
    <row r="129" spans="1:31" s="35" customFormat="1" ht="15">
      <c r="A129" s="114"/>
      <c r="B129" s="81"/>
      <c r="C129" s="81"/>
      <c r="D129" s="81">
        <v>61</v>
      </c>
      <c r="E129" s="81"/>
      <c r="F129" s="117">
        <f t="shared" si="27"/>
        <v>1.1041916167664692</v>
      </c>
      <c r="G129" s="81">
        <f t="shared" si="24"/>
        <v>4.549853769759682E-08</v>
      </c>
      <c r="H129" s="81">
        <f t="shared" si="28"/>
        <v>0.5611252352073701</v>
      </c>
      <c r="I129" s="81">
        <f t="shared" si="25"/>
        <v>0</v>
      </c>
      <c r="J129" s="81">
        <f t="shared" si="26"/>
        <v>1</v>
      </c>
      <c r="K129" s="115"/>
      <c r="L129" s="1"/>
      <c r="M129" s="114">
        <v>47</v>
      </c>
      <c r="N129" s="117"/>
      <c r="O129" s="81">
        <f t="shared" si="23"/>
        <v>0</v>
      </c>
      <c r="P129" s="81"/>
      <c r="Q129" s="33"/>
      <c r="R129" s="3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</row>
    <row r="130" spans="1:31" s="35" customFormat="1" ht="15">
      <c r="A130" s="114"/>
      <c r="B130" s="81"/>
      <c r="C130" s="81"/>
      <c r="D130" s="81">
        <v>62</v>
      </c>
      <c r="E130" s="81"/>
      <c r="F130" s="117">
        <f t="shared" si="27"/>
        <v>1.1065868263473075</v>
      </c>
      <c r="G130" s="81">
        <f t="shared" si="24"/>
        <v>1.1508025030069723E-07</v>
      </c>
      <c r="H130" s="81">
        <f t="shared" si="28"/>
        <v>0.64686920390911</v>
      </c>
      <c r="I130" s="81">
        <f t="shared" si="25"/>
        <v>0</v>
      </c>
      <c r="J130" s="81">
        <f t="shared" si="26"/>
        <v>1</v>
      </c>
      <c r="K130" s="115"/>
      <c r="L130" s="1"/>
      <c r="M130" s="114">
        <v>48</v>
      </c>
      <c r="N130" s="117"/>
      <c r="O130" s="81">
        <f t="shared" si="23"/>
        <v>0</v>
      </c>
      <c r="P130" s="81"/>
      <c r="Q130" s="33"/>
      <c r="R130" s="3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</row>
    <row r="131" spans="1:31" s="35" customFormat="1" ht="15">
      <c r="A131" s="114"/>
      <c r="B131" s="81"/>
      <c r="C131" s="81"/>
      <c r="D131" s="81">
        <v>63</v>
      </c>
      <c r="E131" s="81"/>
      <c r="F131" s="117">
        <f t="shared" si="27"/>
        <v>1.108982035928146</v>
      </c>
      <c r="G131" s="81">
        <f t="shared" si="24"/>
        <v>2.847643814814212E-07</v>
      </c>
      <c r="H131" s="81">
        <f t="shared" si="28"/>
        <v>0.7430357180241111</v>
      </c>
      <c r="I131" s="81">
        <f t="shared" si="25"/>
        <v>0</v>
      </c>
      <c r="J131" s="81">
        <f t="shared" si="26"/>
        <v>1</v>
      </c>
      <c r="K131" s="115"/>
      <c r="L131" s="1"/>
      <c r="M131" s="114">
        <v>49</v>
      </c>
      <c r="N131" s="117"/>
      <c r="O131" s="81">
        <f>IF(N131&gt;0,N131-$Y$4,0)</f>
        <v>0</v>
      </c>
      <c r="P131" s="81"/>
      <c r="Q131" s="33"/>
      <c r="R131" s="3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</row>
    <row r="132" spans="1:31" s="35" customFormat="1" ht="15">
      <c r="A132" s="114"/>
      <c r="B132" s="81"/>
      <c r="C132" s="81"/>
      <c r="D132" s="81">
        <v>64</v>
      </c>
      <c r="E132" s="81"/>
      <c r="F132" s="117">
        <f t="shared" si="27"/>
        <v>1.1113772455089843</v>
      </c>
      <c r="G132" s="81">
        <f t="shared" si="24"/>
        <v>6.893694684161477E-07</v>
      </c>
      <c r="H132" s="81">
        <f t="shared" si="28"/>
        <v>0.8504317113654859</v>
      </c>
      <c r="I132" s="81">
        <f t="shared" si="25"/>
        <v>0</v>
      </c>
      <c r="J132" s="81">
        <f t="shared" si="26"/>
        <v>1</v>
      </c>
      <c r="K132" s="115"/>
      <c r="L132" s="1"/>
      <c r="M132" s="114">
        <v>50</v>
      </c>
      <c r="N132" s="117"/>
      <c r="O132" s="81">
        <f>IF(N132&gt;0,N132-$Y$4,0)</f>
        <v>0</v>
      </c>
      <c r="P132" s="81"/>
      <c r="Q132" s="33"/>
      <c r="R132" s="3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</row>
    <row r="133" spans="1:31" s="35" customFormat="1" ht="15">
      <c r="A133" s="114"/>
      <c r="B133" s="81"/>
      <c r="C133" s="81"/>
      <c r="D133" s="81">
        <v>65</v>
      </c>
      <c r="E133" s="81"/>
      <c r="F133" s="117">
        <f t="shared" si="27"/>
        <v>1.1137724550898227</v>
      </c>
      <c r="G133" s="81">
        <f t="shared" si="24"/>
        <v>1.6326757157941943E-06</v>
      </c>
      <c r="H133" s="81">
        <f t="shared" si="28"/>
        <v>0.9698526146306594</v>
      </c>
      <c r="I133" s="81">
        <f t="shared" si="25"/>
        <v>0</v>
      </c>
      <c r="J133" s="81">
        <f t="shared" si="26"/>
        <v>1</v>
      </c>
      <c r="K133" s="115"/>
      <c r="L133" s="1"/>
      <c r="M133" s="114"/>
      <c r="N133" s="81"/>
      <c r="O133" s="81"/>
      <c r="P133" s="81"/>
      <c r="Q133" s="33"/>
      <c r="R133" s="3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</row>
    <row r="134" spans="1:31" s="35" customFormat="1" ht="15">
      <c r="A134" s="114"/>
      <c r="B134" s="81"/>
      <c r="C134" s="81"/>
      <c r="D134" s="81">
        <v>66</v>
      </c>
      <c r="E134" s="81"/>
      <c r="F134" s="117">
        <f t="shared" si="27"/>
        <v>1.116167664670661</v>
      </c>
      <c r="G134" s="81">
        <f aca="true" t="shared" si="29" ref="G134:G149">1/($A$69*SQRT(2*3.14))*EXP(-((F134-$Y$4)*(F134-$Y$4))/(($A$69*$A$69)*2))</f>
        <v>3.782938936903108E-06</v>
      </c>
      <c r="H134" s="81">
        <f t="shared" si="28"/>
        <v>1.1020684655961124</v>
      </c>
      <c r="I134" s="81">
        <f aca="true" t="shared" si="30" ref="I134:I149">IF(OR(J134-J133=1,J134-J133=-1),$R$148,0)</f>
        <v>0</v>
      </c>
      <c r="J134" s="81">
        <f aca="true" t="shared" si="31" ref="J134:J149">IF(OR(F134&lt;$AB$6,F134&gt;$AB$7),0,1)</f>
        <v>1</v>
      </c>
      <c r="K134" s="115"/>
      <c r="L134" s="1"/>
      <c r="M134" s="118"/>
      <c r="N134" s="119"/>
      <c r="O134" s="119"/>
      <c r="P134" s="119"/>
      <c r="Q134" s="39"/>
      <c r="R134" s="40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</row>
    <row r="135" spans="1:31" s="35" customFormat="1" ht="15">
      <c r="A135" s="114"/>
      <c r="B135" s="81"/>
      <c r="C135" s="81"/>
      <c r="D135" s="81">
        <v>67</v>
      </c>
      <c r="E135" s="81"/>
      <c r="F135" s="117">
        <f aca="true" t="shared" si="32" ref="F135:F150">F134+$P$68</f>
        <v>1.1185628742514995</v>
      </c>
      <c r="G135" s="81">
        <f t="shared" si="29"/>
        <v>8.57512064193063E-06</v>
      </c>
      <c r="H135" s="81">
        <f aca="true" t="shared" si="33" ref="H135:H150">1/($AB$5*SQRT(2*3.14))*EXP(-((F135-$AB$4)*(F135-$AB$4))/(($AB$5*$AB$5)*2))</f>
        <v>1.247808530734147</v>
      </c>
      <c r="I135" s="81">
        <f t="shared" si="30"/>
        <v>0</v>
      </c>
      <c r="J135" s="81">
        <f t="shared" si="31"/>
        <v>1</v>
      </c>
      <c r="K135" s="115"/>
      <c r="L135" s="1"/>
      <c r="M135" s="1"/>
      <c r="N135" s="1"/>
      <c r="O135" s="1"/>
      <c r="P135" s="1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</row>
    <row r="136" spans="1:31" s="35" customFormat="1" ht="15">
      <c r="A136" s="114"/>
      <c r="B136" s="81"/>
      <c r="C136" s="81"/>
      <c r="D136" s="81">
        <v>68</v>
      </c>
      <c r="E136" s="81"/>
      <c r="F136" s="117">
        <f t="shared" si="32"/>
        <v>1.1209580838323379</v>
      </c>
      <c r="G136" s="81">
        <f t="shared" si="29"/>
        <v>1.901659057126472E-05</v>
      </c>
      <c r="H136" s="81">
        <f t="shared" si="33"/>
        <v>1.407744583183193</v>
      </c>
      <c r="I136" s="81">
        <f t="shared" si="30"/>
        <v>0</v>
      </c>
      <c r="J136" s="81">
        <f t="shared" si="31"/>
        <v>1</v>
      </c>
      <c r="K136" s="115"/>
      <c r="L136" s="1"/>
      <c r="M136" s="1"/>
      <c r="N136" s="1"/>
      <c r="O136" s="1"/>
      <c r="P136" s="1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</row>
    <row r="137" spans="1:31" s="35" customFormat="1" ht="15">
      <c r="A137" s="114"/>
      <c r="B137" s="81"/>
      <c r="C137" s="81"/>
      <c r="D137" s="81">
        <v>69</v>
      </c>
      <c r="E137" s="81"/>
      <c r="F137" s="117">
        <f t="shared" si="32"/>
        <v>1.1233532934131762</v>
      </c>
      <c r="G137" s="81">
        <f t="shared" si="29"/>
        <v>4.1257849124565394E-05</v>
      </c>
      <c r="H137" s="81">
        <f t="shared" si="33"/>
        <v>1.5824730379978322</v>
      </c>
      <c r="I137" s="81">
        <f t="shared" si="30"/>
        <v>0</v>
      </c>
      <c r="J137" s="81">
        <f t="shared" si="31"/>
        <v>1</v>
      </c>
      <c r="K137" s="115"/>
      <c r="L137" s="1"/>
      <c r="M137" s="111"/>
      <c r="N137" s="112"/>
      <c r="O137" s="112"/>
      <c r="P137" s="112"/>
      <c r="Q137" s="42"/>
      <c r="R137" s="43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</row>
    <row r="138" spans="1:31" s="35" customFormat="1" ht="15">
      <c r="A138" s="114"/>
      <c r="B138" s="81"/>
      <c r="C138" s="81"/>
      <c r="D138" s="81">
        <v>70</v>
      </c>
      <c r="E138" s="81"/>
      <c r="F138" s="117">
        <f t="shared" si="32"/>
        <v>1.1257485029940146</v>
      </c>
      <c r="G138" s="81">
        <f t="shared" si="29"/>
        <v>8.757134504587117E-05</v>
      </c>
      <c r="H138" s="81">
        <f t="shared" si="33"/>
        <v>1.7724962030729698</v>
      </c>
      <c r="I138" s="81">
        <f t="shared" si="30"/>
        <v>0</v>
      </c>
      <c r="J138" s="81">
        <f t="shared" si="31"/>
        <v>1</v>
      </c>
      <c r="K138" s="115"/>
      <c r="L138" s="1"/>
      <c r="M138" s="114"/>
      <c r="N138" s="81" t="s">
        <v>46</v>
      </c>
      <c r="O138" s="81"/>
      <c r="P138" s="81"/>
      <c r="Q138" s="33"/>
      <c r="R138" s="3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</row>
    <row r="139" spans="1:31" s="35" customFormat="1" ht="15">
      <c r="A139" s="114"/>
      <c r="B139" s="81"/>
      <c r="C139" s="81"/>
      <c r="D139" s="81">
        <v>71</v>
      </c>
      <c r="E139" s="81"/>
      <c r="F139" s="117">
        <f t="shared" si="32"/>
        <v>1.128143712574853</v>
      </c>
      <c r="G139" s="81">
        <f t="shared" si="29"/>
        <v>0.00018184399622507707</v>
      </c>
      <c r="H139" s="81">
        <f t="shared" si="33"/>
        <v>1.9782029613030105</v>
      </c>
      <c r="I139" s="81">
        <f t="shared" si="30"/>
        <v>0</v>
      </c>
      <c r="J139" s="81">
        <f t="shared" si="31"/>
        <v>1</v>
      </c>
      <c r="K139" s="115"/>
      <c r="L139" s="1"/>
      <c r="M139" s="114" t="s">
        <v>120</v>
      </c>
      <c r="N139" s="81">
        <f>MAX(H69:H93)</f>
        <v>0.0003051792763554438</v>
      </c>
      <c r="O139" s="81"/>
      <c r="P139" s="81">
        <f>MAX(G69:G93)</f>
        <v>6.464902888489886E-29</v>
      </c>
      <c r="Q139" s="33"/>
      <c r="R139" s="3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</row>
    <row r="140" spans="1:31" s="35" customFormat="1" ht="15">
      <c r="A140" s="114"/>
      <c r="B140" s="81"/>
      <c r="C140" s="81"/>
      <c r="D140" s="81">
        <v>72</v>
      </c>
      <c r="E140" s="81"/>
      <c r="F140" s="117">
        <f t="shared" si="32"/>
        <v>1.1305389221556914</v>
      </c>
      <c r="G140" s="81">
        <f t="shared" si="29"/>
        <v>0.00036941746460635873</v>
      </c>
      <c r="H140" s="81">
        <f t="shared" si="33"/>
        <v>2.199849254403515</v>
      </c>
      <c r="I140" s="81">
        <f t="shared" si="30"/>
        <v>0</v>
      </c>
      <c r="J140" s="81">
        <f t="shared" si="31"/>
        <v>1</v>
      </c>
      <c r="K140" s="115"/>
      <c r="L140" s="1"/>
      <c r="M140" s="114" t="s">
        <v>115</v>
      </c>
      <c r="N140" s="81">
        <f>MAX(H94:H118)</f>
        <v>0.09258657162364954</v>
      </c>
      <c r="O140" s="81"/>
      <c r="P140" s="81">
        <f>MAX(G94:G118)</f>
        <v>3.951301172738208E-13</v>
      </c>
      <c r="Q140" s="33"/>
      <c r="R140" s="3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</row>
    <row r="141" spans="1:31" s="35" customFormat="1" ht="15">
      <c r="A141" s="114"/>
      <c r="B141" s="81"/>
      <c r="C141" s="81"/>
      <c r="D141" s="81">
        <v>73</v>
      </c>
      <c r="E141" s="81"/>
      <c r="F141" s="117">
        <f t="shared" si="32"/>
        <v>1.1329341317365298</v>
      </c>
      <c r="G141" s="81">
        <f t="shared" si="29"/>
        <v>0.0007342050874139291</v>
      </c>
      <c r="H141" s="81">
        <f t="shared" si="33"/>
        <v>2.437538789223757</v>
      </c>
      <c r="I141" s="81">
        <f t="shared" si="30"/>
        <v>0</v>
      </c>
      <c r="J141" s="81">
        <f t="shared" si="31"/>
        <v>1</v>
      </c>
      <c r="K141" s="115"/>
      <c r="L141" s="1"/>
      <c r="M141" s="114" t="s">
        <v>121</v>
      </c>
      <c r="N141" s="81">
        <f>MAX(H119:H143)</f>
        <v>2.960590783055726</v>
      </c>
      <c r="O141" s="81"/>
      <c r="P141" s="81">
        <f>MAX(G119:G143)</f>
        <v>0.0027155753072860577</v>
      </c>
      <c r="Q141" s="33"/>
      <c r="R141" s="3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</row>
    <row r="142" spans="1:31" s="35" customFormat="1" ht="15">
      <c r="A142" s="114"/>
      <c r="B142" s="81"/>
      <c r="C142" s="81"/>
      <c r="D142" s="81">
        <v>74</v>
      </c>
      <c r="E142" s="81"/>
      <c r="F142" s="117">
        <f t="shared" si="32"/>
        <v>1.1353293413173682</v>
      </c>
      <c r="G142" s="81">
        <f t="shared" si="29"/>
        <v>0.0014275747747061751</v>
      </c>
      <c r="H142" s="81">
        <f t="shared" si="33"/>
        <v>2.6912044310495062</v>
      </c>
      <c r="I142" s="81">
        <f t="shared" si="30"/>
        <v>0</v>
      </c>
      <c r="J142" s="81">
        <f t="shared" si="31"/>
        <v>1</v>
      </c>
      <c r="K142" s="115"/>
      <c r="L142" s="1"/>
      <c r="M142" s="114" t="s">
        <v>122</v>
      </c>
      <c r="N142" s="81">
        <f>MAX(H144:H168)</f>
        <v>9.978061543016867</v>
      </c>
      <c r="O142" s="81"/>
      <c r="P142" s="81">
        <f>MAX(G144:G168)</f>
        <v>20.985878706743268</v>
      </c>
      <c r="Q142" s="33"/>
      <c r="R142" s="3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</row>
    <row r="143" spans="1:31" s="35" customFormat="1" ht="15">
      <c r="A143" s="114"/>
      <c r="B143" s="81"/>
      <c r="C143" s="81"/>
      <c r="D143" s="81">
        <v>75</v>
      </c>
      <c r="E143" s="81"/>
      <c r="F143" s="117">
        <f t="shared" si="32"/>
        <v>1.1377245508982066</v>
      </c>
      <c r="G143" s="81">
        <f t="shared" si="29"/>
        <v>0.0027155753072860577</v>
      </c>
      <c r="H143" s="81">
        <f t="shared" si="33"/>
        <v>2.960590783055726</v>
      </c>
      <c r="I143" s="81">
        <f t="shared" si="30"/>
        <v>0</v>
      </c>
      <c r="J143" s="81">
        <f t="shared" si="31"/>
        <v>1</v>
      </c>
      <c r="K143" s="115"/>
      <c r="L143" s="1"/>
      <c r="M143" s="114"/>
      <c r="N143" s="81">
        <f>MAX(H169:H193)</f>
        <v>9.99603822795697</v>
      </c>
      <c r="O143" s="81"/>
      <c r="P143" s="81">
        <f>MAX(G169:G193)</f>
        <v>24.65728033166606</v>
      </c>
      <c r="Q143" s="33"/>
      <c r="R143" s="3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</row>
    <row r="144" spans="1:31" s="35" customFormat="1" ht="15">
      <c r="A144" s="114"/>
      <c r="B144" s="81"/>
      <c r="C144" s="81"/>
      <c r="D144" s="81">
        <v>76</v>
      </c>
      <c r="E144" s="81"/>
      <c r="F144" s="117">
        <f t="shared" si="32"/>
        <v>1.140119760479045</v>
      </c>
      <c r="G144" s="81">
        <f t="shared" si="29"/>
        <v>0.005053663796298706</v>
      </c>
      <c r="H144" s="81">
        <f t="shared" si="33"/>
        <v>3.2452384745149905</v>
      </c>
      <c r="I144" s="81">
        <f t="shared" si="30"/>
        <v>0</v>
      </c>
      <c r="J144" s="81">
        <f t="shared" si="31"/>
        <v>1</v>
      </c>
      <c r="K144" s="115"/>
      <c r="L144" s="1"/>
      <c r="M144" s="114"/>
      <c r="N144" s="81">
        <f>MAX(H194:H218)</f>
        <v>3.245238474513853</v>
      </c>
      <c r="O144" s="81"/>
      <c r="P144" s="81">
        <f>MAX(G194:G218)</f>
        <v>0.11343734106484869</v>
      </c>
      <c r="Q144" s="33"/>
      <c r="R144" s="3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</row>
    <row r="145" spans="1:31" s="35" customFormat="1" ht="15">
      <c r="A145" s="114"/>
      <c r="B145" s="81"/>
      <c r="C145" s="81"/>
      <c r="D145" s="81">
        <v>77</v>
      </c>
      <c r="E145" s="81"/>
      <c r="F145" s="117">
        <f t="shared" si="32"/>
        <v>1.1425149700598833</v>
      </c>
      <c r="G145" s="81">
        <f t="shared" si="29"/>
        <v>0.009200943237774028</v>
      </c>
      <c r="H145" s="81">
        <f t="shared" si="33"/>
        <v>3.544470690572695</v>
      </c>
      <c r="I145" s="81">
        <f t="shared" si="30"/>
        <v>0</v>
      </c>
      <c r="J145" s="81">
        <f t="shared" si="31"/>
        <v>1</v>
      </c>
      <c r="K145" s="115"/>
      <c r="L145" s="1"/>
      <c r="M145" s="114"/>
      <c r="N145" s="81">
        <f>MAX(H219:H243)</f>
        <v>0.11104595407044625</v>
      </c>
      <c r="O145" s="81"/>
      <c r="P145" s="81">
        <f>MAX(G219:G243)</f>
        <v>6.408350673603798E-10</v>
      </c>
      <c r="Q145" s="33"/>
      <c r="R145" s="3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</row>
    <row r="146" spans="1:31" s="35" customFormat="1" ht="15">
      <c r="A146" s="114"/>
      <c r="B146" s="81"/>
      <c r="C146" s="81"/>
      <c r="D146" s="81">
        <v>78</v>
      </c>
      <c r="E146" s="81"/>
      <c r="F146" s="117">
        <f t="shared" si="32"/>
        <v>1.1449101796407217</v>
      </c>
      <c r="G146" s="81">
        <f t="shared" si="29"/>
        <v>0.01638852493864196</v>
      </c>
      <c r="H146" s="81">
        <f t="shared" si="33"/>
        <v>3.8573824716183482</v>
      </c>
      <c r="I146" s="81">
        <f t="shared" si="30"/>
        <v>0</v>
      </c>
      <c r="J146" s="81">
        <f t="shared" si="31"/>
        <v>1</v>
      </c>
      <c r="K146" s="115"/>
      <c r="L146" s="1"/>
      <c r="M146" s="114"/>
      <c r="N146" s="81">
        <f>MAX(H243:H268)</f>
        <v>0.0005236897324220146</v>
      </c>
      <c r="O146" s="81"/>
      <c r="P146" s="81">
        <f>MAX(G243:G268)</f>
        <v>1.957873461450235E-23</v>
      </c>
      <c r="Q146" s="33"/>
      <c r="R146" s="3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</row>
    <row r="147" spans="1:31" s="35" customFormat="1" ht="15">
      <c r="A147" s="114"/>
      <c r="B147" s="81"/>
      <c r="C147" s="81"/>
      <c r="D147" s="81">
        <v>79</v>
      </c>
      <c r="E147" s="81"/>
      <c r="F147" s="117">
        <f t="shared" si="32"/>
        <v>1.1473053892215601</v>
      </c>
      <c r="G147" s="81">
        <f t="shared" si="29"/>
        <v>0.028558072443230786</v>
      </c>
      <c r="H147" s="81">
        <f t="shared" si="33"/>
        <v>4.182833289149682</v>
      </c>
      <c r="I147" s="81">
        <f t="shared" si="30"/>
        <v>0</v>
      </c>
      <c r="J147" s="81">
        <f t="shared" si="31"/>
        <v>1</v>
      </c>
      <c r="K147" s="115"/>
      <c r="L147" s="1"/>
      <c r="M147" s="114"/>
      <c r="N147" s="81"/>
      <c r="O147" s="81"/>
      <c r="P147" s="81"/>
      <c r="Q147" s="33"/>
      <c r="R147" s="3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</row>
    <row r="148" spans="1:31" s="35" customFormat="1" ht="15">
      <c r="A148" s="114"/>
      <c r="B148" s="81"/>
      <c r="C148" s="81"/>
      <c r="D148" s="81">
        <v>80</v>
      </c>
      <c r="E148" s="81"/>
      <c r="F148" s="117">
        <f t="shared" si="32"/>
        <v>1.1497005988023985</v>
      </c>
      <c r="G148" s="81">
        <f t="shared" si="29"/>
        <v>0.048685476538630125</v>
      </c>
      <c r="H148" s="81">
        <f t="shared" si="33"/>
        <v>4.519443366656696</v>
      </c>
      <c r="I148" s="81">
        <f t="shared" si="30"/>
        <v>0</v>
      </c>
      <c r="J148" s="81">
        <f t="shared" si="31"/>
        <v>1</v>
      </c>
      <c r="K148" s="115"/>
      <c r="L148" s="1"/>
      <c r="M148" s="118" t="s">
        <v>36</v>
      </c>
      <c r="N148" s="119">
        <f>MAX(N139:N146)</f>
        <v>9.99603822795697</v>
      </c>
      <c r="O148" s="119"/>
      <c r="P148" s="119">
        <f>MAX(P139:P146)</f>
        <v>24.65728033166606</v>
      </c>
      <c r="Q148" s="39"/>
      <c r="R148" s="40">
        <f>MAX(N148,P148)</f>
        <v>24.65728033166606</v>
      </c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</row>
    <row r="149" spans="1:31" s="35" customFormat="1" ht="15">
      <c r="A149" s="114"/>
      <c r="B149" s="81"/>
      <c r="C149" s="81"/>
      <c r="D149" s="81">
        <v>81</v>
      </c>
      <c r="E149" s="81"/>
      <c r="F149" s="117">
        <f t="shared" si="32"/>
        <v>1.1520958083832369</v>
      </c>
      <c r="G149" s="81">
        <f t="shared" si="29"/>
        <v>0.08119914744674037</v>
      </c>
      <c r="H149" s="81">
        <f t="shared" si="33"/>
        <v>4.865594158120667</v>
      </c>
      <c r="I149" s="81">
        <f t="shared" si="30"/>
        <v>0</v>
      </c>
      <c r="J149" s="81">
        <f t="shared" si="31"/>
        <v>1</v>
      </c>
      <c r="K149" s="115"/>
      <c r="L149" s="1"/>
      <c r="M149" s="1"/>
      <c r="N149" s="1"/>
      <c r="O149" s="1"/>
      <c r="P149" s="1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</row>
    <row r="150" spans="1:31" s="35" customFormat="1" ht="15">
      <c r="A150" s="114"/>
      <c r="B150" s="81"/>
      <c r="C150" s="81"/>
      <c r="D150" s="81">
        <v>82</v>
      </c>
      <c r="E150" s="81"/>
      <c r="F150" s="117">
        <f t="shared" si="32"/>
        <v>1.1544910179640753</v>
      </c>
      <c r="G150" s="81">
        <f aca="true" t="shared" si="34" ref="G150:G165">1/($A$69*SQRT(2*3.14))*EXP(-((F150-$Y$4)*(F150-$Y$4))/(($A$69*$A$69)*2))</f>
        <v>0.1324905866854574</v>
      </c>
      <c r="H150" s="81">
        <f t="shared" si="33"/>
        <v>5.21943332353012</v>
      </c>
      <c r="I150" s="81">
        <f aca="true" t="shared" si="35" ref="I150:I165">IF(OR(J150-J149=1,J150-J149=-1),$R$148,0)</f>
        <v>0</v>
      </c>
      <c r="J150" s="81">
        <f aca="true" t="shared" si="36" ref="J150:J165">IF(OR(F150&lt;$AB$6,F150&gt;$AB$7),0,1)</f>
        <v>1</v>
      </c>
      <c r="K150" s="115"/>
      <c r="L150" s="1"/>
      <c r="M150" s="1"/>
      <c r="N150" s="1"/>
      <c r="O150" s="1"/>
      <c r="P150" s="1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</row>
    <row r="151" spans="1:31" s="35" customFormat="1" ht="15">
      <c r="A151" s="114"/>
      <c r="B151" s="81"/>
      <c r="C151" s="81"/>
      <c r="D151" s="81">
        <v>83</v>
      </c>
      <c r="E151" s="81"/>
      <c r="F151" s="117">
        <f aca="true" t="shared" si="37" ref="F151:F166">F150+$P$68</f>
        <v>1.1568862275449137</v>
      </c>
      <c r="G151" s="81">
        <f t="shared" si="34"/>
        <v>0.21149499133576688</v>
      </c>
      <c r="H151" s="81">
        <f aca="true" t="shared" si="38" ref="H151:H166">1/($AB$5*SQRT(2*3.14))*EXP(-((F151-$AB$4)*(F151-$AB$4))/(($AB$5*$AB$5)*2))</f>
        <v>5.578884451333758</v>
      </c>
      <c r="I151" s="81">
        <f t="shared" si="35"/>
        <v>0</v>
      </c>
      <c r="J151" s="81">
        <f t="shared" si="36"/>
        <v>1</v>
      </c>
      <c r="K151" s="115"/>
      <c r="L151" s="1"/>
      <c r="M151" s="1">
        <f>IF(N151&gt;0,1,0)</f>
        <v>1</v>
      </c>
      <c r="N151" s="1">
        <f>IF(B9&gt;0,STDEV($B$5:$B$9),0)</f>
        <v>0.044721359549995836</v>
      </c>
      <c r="O151" s="1"/>
      <c r="P151" s="1"/>
      <c r="R151" s="41" t="s">
        <v>47</v>
      </c>
      <c r="S151" s="42"/>
      <c r="T151" s="43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</row>
    <row r="152" spans="1:31" s="35" customFormat="1" ht="15">
      <c r="A152" s="114"/>
      <c r="B152" s="81"/>
      <c r="C152" s="81"/>
      <c r="D152" s="81">
        <v>84</v>
      </c>
      <c r="E152" s="81"/>
      <c r="F152" s="117">
        <f t="shared" si="37"/>
        <v>1.159281437125752</v>
      </c>
      <c r="G152" s="81">
        <f t="shared" si="34"/>
        <v>0.3302909393243733</v>
      </c>
      <c r="H152" s="81">
        <f t="shared" si="38"/>
        <v>5.941661673640648</v>
      </c>
      <c r="I152" s="81">
        <f t="shared" si="35"/>
        <v>0</v>
      </c>
      <c r="J152" s="81">
        <f t="shared" si="36"/>
        <v>1</v>
      </c>
      <c r="K152" s="115"/>
      <c r="L152" s="1"/>
      <c r="M152" s="1">
        <f>IF(N152&gt;0,M151+1,M151)</f>
        <v>2</v>
      </c>
      <c r="N152" s="1">
        <f>STDEV($B$10:$B$14)</f>
        <v>0.004472135954999583</v>
      </c>
      <c r="O152" s="1"/>
      <c r="P152" s="1"/>
      <c r="R152" s="14"/>
      <c r="S152" s="33"/>
      <c r="T152" s="3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</row>
    <row r="153" spans="1:31" s="35" customFormat="1" ht="15">
      <c r="A153" s="114"/>
      <c r="B153" s="81"/>
      <c r="C153" s="81"/>
      <c r="D153" s="81">
        <v>85</v>
      </c>
      <c r="E153" s="81"/>
      <c r="F153" s="117">
        <f t="shared" si="37"/>
        <v>1.1616766467065904</v>
      </c>
      <c r="G153" s="81">
        <f t="shared" si="34"/>
        <v>0.5046319493435485</v>
      </c>
      <c r="H153" s="81">
        <f t="shared" si="38"/>
        <v>6.305289203578255</v>
      </c>
      <c r="I153" s="81">
        <f t="shared" si="35"/>
        <v>0</v>
      </c>
      <c r="J153" s="81">
        <f t="shared" si="36"/>
        <v>1</v>
      </c>
      <c r="K153" s="115"/>
      <c r="L153" s="1"/>
      <c r="M153" s="1">
        <f aca="true" t="shared" si="39" ref="M153:M160">IF(N153&gt;0,M152+1,M152)</f>
        <v>3</v>
      </c>
      <c r="N153" s="1">
        <f>STDEV($B$15:$B$19)</f>
        <v>0.004472135954999583</v>
      </c>
      <c r="O153" s="1"/>
      <c r="P153" s="121">
        <f>STDEVP(B5:B54)</f>
        <v>0.016178998732925356</v>
      </c>
      <c r="R153" s="32">
        <f>COUNT(B5:B29)</f>
        <v>25</v>
      </c>
      <c r="S153" s="33">
        <f>R153/5</f>
        <v>5</v>
      </c>
      <c r="T153" s="3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</row>
    <row r="154" spans="1:31" s="35" customFormat="1" ht="15">
      <c r="A154" s="114"/>
      <c r="B154" s="81"/>
      <c r="C154" s="81"/>
      <c r="D154" s="81">
        <v>86</v>
      </c>
      <c r="E154" s="81"/>
      <c r="F154" s="117">
        <f t="shared" si="37"/>
        <v>1.1640718562874288</v>
      </c>
      <c r="G154" s="81">
        <f t="shared" si="34"/>
        <v>0.7542830282633712</v>
      </c>
      <c r="H154" s="81">
        <f t="shared" si="38"/>
        <v>6.667125698502693</v>
      </c>
      <c r="I154" s="81">
        <f t="shared" si="35"/>
        <v>0</v>
      </c>
      <c r="J154" s="81">
        <f t="shared" si="36"/>
        <v>1</v>
      </c>
      <c r="K154" s="115"/>
      <c r="L154" s="1"/>
      <c r="M154" s="1">
        <f t="shared" si="39"/>
        <v>4</v>
      </c>
      <c r="N154" s="1">
        <f>STDEV($B$20:$B$24)</f>
        <v>0.008944271909999166</v>
      </c>
      <c r="O154" s="1"/>
      <c r="P154" s="121">
        <f>P153</f>
        <v>0.016178998732925356</v>
      </c>
      <c r="R154" s="32">
        <f>COUNT(B30:B54)</f>
        <v>25</v>
      </c>
      <c r="S154" s="33">
        <f>R154/5</f>
        <v>5</v>
      </c>
      <c r="T154" s="3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</row>
    <row r="155" spans="1:31" s="35" customFormat="1" ht="15">
      <c r="A155" s="114"/>
      <c r="B155" s="81"/>
      <c r="C155" s="81"/>
      <c r="D155" s="81">
        <v>87</v>
      </c>
      <c r="E155" s="81"/>
      <c r="F155" s="117">
        <f t="shared" si="37"/>
        <v>1.1664670658682672</v>
      </c>
      <c r="G155" s="81">
        <f t="shared" si="34"/>
        <v>1.1029998123158582</v>
      </c>
      <c r="H155" s="81">
        <f t="shared" si="38"/>
        <v>7.024393221255931</v>
      </c>
      <c r="I155" s="81">
        <f t="shared" si="35"/>
        <v>0</v>
      </c>
      <c r="J155" s="81">
        <f t="shared" si="36"/>
        <v>1</v>
      </c>
      <c r="K155" s="115"/>
      <c r="L155" s="1"/>
      <c r="M155" s="1">
        <f t="shared" si="39"/>
        <v>5</v>
      </c>
      <c r="N155" s="1">
        <f>STDEV($B$25:$B$29)</f>
        <v>0.004472135954999583</v>
      </c>
      <c r="O155" s="1"/>
      <c r="P155" s="1"/>
      <c r="R155" s="84" t="s">
        <v>19</v>
      </c>
      <c r="S155" s="39">
        <f>SUM(S153:S154)</f>
        <v>10</v>
      </c>
      <c r="T155" s="40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</row>
    <row r="156" spans="1:31" s="35" customFormat="1" ht="15">
      <c r="A156" s="114"/>
      <c r="B156" s="81"/>
      <c r="C156" s="81"/>
      <c r="D156" s="81">
        <v>88</v>
      </c>
      <c r="E156" s="81"/>
      <c r="F156" s="117">
        <f t="shared" si="37"/>
        <v>1.1688622754491056</v>
      </c>
      <c r="G156" s="81">
        <f t="shared" si="34"/>
        <v>1.5779674878372265</v>
      </c>
      <c r="H156" s="81">
        <f t="shared" si="38"/>
        <v>7.374210438372398</v>
      </c>
      <c r="I156" s="81">
        <f t="shared" si="35"/>
        <v>0</v>
      </c>
      <c r="J156" s="81">
        <f t="shared" si="36"/>
        <v>1</v>
      </c>
      <c r="K156" s="115"/>
      <c r="L156" s="1"/>
      <c r="M156" s="1">
        <f t="shared" si="39"/>
        <v>6</v>
      </c>
      <c r="N156" s="1">
        <f>IF(B34&gt;0,STDEV($B$30:$B$34),0)</f>
        <v>0.01341640786499875</v>
      </c>
      <c r="O156" s="1"/>
      <c r="P156" s="1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</row>
    <row r="157" spans="1:31" s="35" customFormat="1" ht="15">
      <c r="A157" s="114"/>
      <c r="B157" s="81"/>
      <c r="C157" s="81"/>
      <c r="D157" s="81">
        <v>89</v>
      </c>
      <c r="E157" s="81"/>
      <c r="F157" s="117">
        <f t="shared" si="37"/>
        <v>1.171257485029944</v>
      </c>
      <c r="G157" s="81">
        <f t="shared" si="34"/>
        <v>2.2085242531869005</v>
      </c>
      <c r="H157" s="81">
        <f t="shared" si="38"/>
        <v>7.713629563367166</v>
      </c>
      <c r="I157" s="81">
        <f t="shared" si="35"/>
        <v>0</v>
      </c>
      <c r="J157" s="81">
        <f t="shared" si="36"/>
        <v>1</v>
      </c>
      <c r="K157" s="115"/>
      <c r="L157" s="1"/>
      <c r="M157" s="1">
        <f t="shared" si="39"/>
        <v>7</v>
      </c>
      <c r="N157" s="1">
        <f>IF(B39&gt;0,STDEV($B$35:$B$39),0)</f>
        <v>0.008944271909999168</v>
      </c>
      <c r="O157" s="1"/>
      <c r="P157" s="1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</row>
    <row r="158" spans="1:31" s="35" customFormat="1" ht="15">
      <c r="A158" s="114"/>
      <c r="B158" s="81"/>
      <c r="C158" s="81"/>
      <c r="D158" s="81">
        <v>90</v>
      </c>
      <c r="E158" s="81"/>
      <c r="F158" s="117">
        <f t="shared" si="37"/>
        <v>1.1736526946107824</v>
      </c>
      <c r="G158" s="81">
        <f t="shared" si="34"/>
        <v>3.024041902584867</v>
      </c>
      <c r="H158" s="81">
        <f t="shared" si="38"/>
        <v>8.039676429475325</v>
      </c>
      <c r="I158" s="81">
        <f t="shared" si="35"/>
        <v>0</v>
      </c>
      <c r="J158" s="81">
        <f t="shared" si="36"/>
        <v>1</v>
      </c>
      <c r="K158" s="115"/>
      <c r="L158" s="1"/>
      <c r="M158" s="1">
        <f t="shared" si="39"/>
        <v>8</v>
      </c>
      <c r="N158" s="1">
        <f>IF(B44&gt;0,STDEV($B$40:$B$44),0)</f>
        <v>0.014142135623730963</v>
      </c>
      <c r="O158" s="1"/>
      <c r="P158" s="1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</row>
    <row r="159" spans="1:31" s="35" customFormat="1" ht="15">
      <c r="A159" s="114"/>
      <c r="B159" s="81"/>
      <c r="C159" s="81"/>
      <c r="D159" s="81">
        <v>91</v>
      </c>
      <c r="E159" s="81"/>
      <c r="F159" s="117">
        <f t="shared" si="37"/>
        <v>1.1760479041916208</v>
      </c>
      <c r="G159" s="81">
        <f t="shared" si="34"/>
        <v>4.050931935910156</v>
      </c>
      <c r="H159" s="81">
        <f t="shared" si="38"/>
        <v>8.349392963941279</v>
      </c>
      <c r="I159" s="81">
        <f t="shared" si="35"/>
        <v>0</v>
      </c>
      <c r="J159" s="81">
        <f t="shared" si="36"/>
        <v>1</v>
      </c>
      <c r="K159" s="115"/>
      <c r="L159" s="1"/>
      <c r="M159" s="1">
        <f t="shared" si="39"/>
        <v>9</v>
      </c>
      <c r="N159" s="1">
        <f>IF(B49&gt;0,STDEV($B$45:$B$49),0)</f>
        <v>0.01341640786499875</v>
      </c>
      <c r="O159" s="1"/>
      <c r="P159" s="1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</row>
    <row r="160" spans="1:31" s="35" customFormat="1" ht="15">
      <c r="A160" s="114"/>
      <c r="B160" s="81"/>
      <c r="C160" s="81"/>
      <c r="D160" s="81">
        <v>92</v>
      </c>
      <c r="E160" s="81"/>
      <c r="F160" s="117">
        <f t="shared" si="37"/>
        <v>1.1784431137724591</v>
      </c>
      <c r="G160" s="81">
        <f t="shared" si="34"/>
        <v>5.308888418150914</v>
      </c>
      <c r="H160" s="81">
        <f t="shared" si="38"/>
        <v>8.639881239479449</v>
      </c>
      <c r="I160" s="81">
        <f t="shared" si="35"/>
        <v>0</v>
      </c>
      <c r="J160" s="81">
        <f t="shared" si="36"/>
        <v>1</v>
      </c>
      <c r="K160" s="115"/>
      <c r="L160" s="1"/>
      <c r="M160" s="1">
        <f t="shared" si="39"/>
        <v>10</v>
      </c>
      <c r="N160" s="1">
        <f>IF(B54&gt;0,STDEV($B$50:$B$54),0)</f>
        <v>0.008944271909999168</v>
      </c>
      <c r="O160" s="1"/>
      <c r="P160" s="1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</row>
    <row r="161" spans="1:31" s="35" customFormat="1" ht="15">
      <c r="A161" s="114"/>
      <c r="B161" s="81"/>
      <c r="C161" s="81"/>
      <c r="D161" s="81">
        <v>93</v>
      </c>
      <c r="E161" s="81"/>
      <c r="F161" s="117">
        <f t="shared" si="37"/>
        <v>1.1808383233532975</v>
      </c>
      <c r="G161" s="81">
        <f t="shared" si="34"/>
        <v>6.806655310863045</v>
      </c>
      <c r="H161" s="81">
        <f t="shared" si="38"/>
        <v>8.908348201780525</v>
      </c>
      <c r="I161" s="81">
        <f t="shared" si="35"/>
        <v>0</v>
      </c>
      <c r="J161" s="81">
        <f t="shared" si="36"/>
        <v>1</v>
      </c>
      <c r="K161" s="115"/>
      <c r="L161" s="1"/>
      <c r="M161" s="1"/>
      <c r="N161" s="1"/>
      <c r="O161" s="1"/>
      <c r="P161" s="1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</row>
    <row r="162" spans="1:31" s="35" customFormat="1" ht="15">
      <c r="A162" s="114"/>
      <c r="B162" s="81"/>
      <c r="C162" s="81"/>
      <c r="D162" s="81">
        <v>94</v>
      </c>
      <c r="E162" s="81"/>
      <c r="F162" s="117">
        <f t="shared" si="37"/>
        <v>1.183233532934136</v>
      </c>
      <c r="G162" s="81">
        <f t="shared" si="34"/>
        <v>8.537789228954477</v>
      </c>
      <c r="H162" s="81">
        <f t="shared" si="38"/>
        <v>9.15215011831529</v>
      </c>
      <c r="I162" s="81">
        <f t="shared" si="35"/>
        <v>0</v>
      </c>
      <c r="J162" s="81">
        <f t="shared" si="36"/>
        <v>1</v>
      </c>
      <c r="K162" s="115"/>
      <c r="L162" s="1"/>
      <c r="M162" s="1"/>
      <c r="N162" s="1"/>
      <c r="O162" s="1"/>
      <c r="P162" s="1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</row>
    <row r="163" spans="1:31" s="35" customFormat="1" ht="15">
      <c r="A163" s="114"/>
      <c r="B163" s="81"/>
      <c r="C163" s="81"/>
      <c r="D163" s="81">
        <v>95</v>
      </c>
      <c r="E163" s="81"/>
      <c r="F163" s="117">
        <f t="shared" si="37"/>
        <v>1.1856287425149743</v>
      </c>
      <c r="G163" s="81">
        <f t="shared" si="34"/>
        <v>10.477040186963862</v>
      </c>
      <c r="H163" s="81">
        <f t="shared" si="38"/>
        <v>9.368835765884507</v>
      </c>
      <c r="I163" s="81">
        <f t="shared" si="35"/>
        <v>0</v>
      </c>
      <c r="J163" s="81">
        <f t="shared" si="36"/>
        <v>1</v>
      </c>
      <c r="K163" s="115"/>
      <c r="L163" s="1"/>
      <c r="M163" s="1"/>
      <c r="N163" s="1"/>
      <c r="O163" s="1"/>
      <c r="P163" s="1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</row>
    <row r="164" spans="1:31" s="35" customFormat="1" ht="15">
      <c r="A164" s="114"/>
      <c r="B164" s="81"/>
      <c r="C164" s="81"/>
      <c r="D164" s="81">
        <v>96</v>
      </c>
      <c r="E164" s="81"/>
      <c r="F164" s="117">
        <f t="shared" si="37"/>
        <v>1.1880239520958127</v>
      </c>
      <c r="G164" s="81">
        <f t="shared" si="34"/>
        <v>12.578049513371807</v>
      </c>
      <c r="H164" s="81">
        <f t="shared" si="38"/>
        <v>9.556187374234577</v>
      </c>
      <c r="I164" s="81">
        <f t="shared" si="35"/>
        <v>0</v>
      </c>
      <c r="J164" s="81">
        <f t="shared" si="36"/>
        <v>1</v>
      </c>
      <c r="K164" s="115"/>
      <c r="L164" s="1"/>
      <c r="M164" s="1"/>
      <c r="N164" s="1"/>
      <c r="O164" s="1"/>
      <c r="P164" s="1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</row>
    <row r="165" spans="1:31" s="35" customFormat="1" ht="15">
      <c r="A165" s="114"/>
      <c r="B165" s="81"/>
      <c r="C165" s="81"/>
      <c r="D165" s="81">
        <v>97</v>
      </c>
      <c r="E165" s="81"/>
      <c r="F165" s="117">
        <f t="shared" si="37"/>
        <v>1.190419161676651</v>
      </c>
      <c r="G165" s="81">
        <f t="shared" si="34"/>
        <v>14.773027286231594</v>
      </c>
      <c r="H165" s="81">
        <f t="shared" si="38"/>
        <v>9.712258371517327</v>
      </c>
      <c r="I165" s="81">
        <f t="shared" si="35"/>
        <v>0</v>
      </c>
      <c r="J165" s="81">
        <f t="shared" si="36"/>
        <v>1</v>
      </c>
      <c r="K165" s="115"/>
      <c r="L165" s="1"/>
      <c r="M165" s="1"/>
      <c r="N165" s="1"/>
      <c r="O165" s="1"/>
      <c r="P165" s="1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</row>
    <row r="166" spans="1:31" s="35" customFormat="1" ht="15">
      <c r="A166" s="114"/>
      <c r="B166" s="81"/>
      <c r="C166" s="81"/>
      <c r="D166" s="81">
        <v>98</v>
      </c>
      <c r="E166" s="81"/>
      <c r="F166" s="117">
        <f t="shared" si="37"/>
        <v>1.1928143712574895</v>
      </c>
      <c r="G166" s="81">
        <f aca="true" t="shared" si="40" ref="G166:G181">1/($A$69*SQRT(2*3.14))*EXP(-((F166-$Y$4)*(F166-$Y$4))/(($A$69*$A$69)*2))</f>
        <v>16.974899421846036</v>
      </c>
      <c r="H166" s="81">
        <f t="shared" si="38"/>
        <v>9.835407034321552</v>
      </c>
      <c r="I166" s="81">
        <f aca="true" t="shared" si="41" ref="I166:I181">IF(OR(J166-J165=1,J166-J165=-1),$R$148,0)</f>
        <v>0</v>
      </c>
      <c r="J166" s="81">
        <f aca="true" t="shared" si="42" ref="J166:J181">IF(OR(F166&lt;$AB$6,F166&gt;$AB$7),0,1)</f>
        <v>1</v>
      </c>
      <c r="K166" s="115"/>
      <c r="L166" s="1"/>
      <c r="M166" s="1"/>
      <c r="N166" s="1"/>
      <c r="O166" s="1"/>
      <c r="P166" s="1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</row>
    <row r="167" spans="1:31" s="35" customFormat="1" ht="15">
      <c r="A167" s="114"/>
      <c r="B167" s="81"/>
      <c r="C167" s="81"/>
      <c r="D167" s="81">
        <v>99</v>
      </c>
      <c r="E167" s="81"/>
      <c r="F167" s="117">
        <f aca="true" t="shared" si="43" ref="F167:F182">F166+$P$68</f>
        <v>1.1952095808383278</v>
      </c>
      <c r="G167" s="81">
        <f t="shared" si="40"/>
        <v>19.082111500849997</v>
      </c>
      <c r="H167" s="81">
        <f aca="true" t="shared" si="44" ref="H167:H182">1/($AB$5*SQRT(2*3.14))*EXP(-((F167-$AB$4)*(F167-$AB$4))/(($AB$5*$AB$5)*2))</f>
        <v>9.924325229310828</v>
      </c>
      <c r="I167" s="81">
        <f t="shared" si="41"/>
        <v>0</v>
      </c>
      <c r="J167" s="81">
        <f t="shared" si="42"/>
        <v>1</v>
      </c>
      <c r="K167" s="115"/>
      <c r="L167" s="1"/>
      <c r="M167" s="1"/>
      <c r="N167" s="1"/>
      <c r="O167" s="1"/>
      <c r="P167" s="1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</row>
    <row r="168" spans="1:31" s="35" customFormat="1" ht="15">
      <c r="A168" s="114"/>
      <c r="B168" s="81"/>
      <c r="C168" s="81"/>
      <c r="D168" s="81">
        <v>100</v>
      </c>
      <c r="E168" s="81"/>
      <c r="F168" s="117">
        <f t="shared" si="43"/>
        <v>1.1976047904191662</v>
      </c>
      <c r="G168" s="81">
        <f t="shared" si="40"/>
        <v>20.985878706743268</v>
      </c>
      <c r="H168" s="81">
        <f t="shared" si="44"/>
        <v>9.978061543016867</v>
      </c>
      <c r="I168" s="81">
        <f t="shared" si="41"/>
        <v>0</v>
      </c>
      <c r="J168" s="81">
        <f t="shared" si="42"/>
        <v>1</v>
      </c>
      <c r="K168" s="115"/>
      <c r="L168" s="1"/>
      <c r="M168" s="1"/>
      <c r="N168" s="1"/>
      <c r="O168" s="1"/>
      <c r="P168" s="1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</row>
    <row r="169" spans="1:31" s="35" customFormat="1" ht="15">
      <c r="A169" s="118"/>
      <c r="B169" s="81"/>
      <c r="C169" s="81"/>
      <c r="D169" s="81">
        <v>101</v>
      </c>
      <c r="E169" s="81"/>
      <c r="F169" s="117">
        <f t="shared" si="43"/>
        <v>1.2000000000000046</v>
      </c>
      <c r="G169" s="81">
        <f t="shared" si="40"/>
        <v>22.579244032886866</v>
      </c>
      <c r="H169" s="81">
        <f t="shared" si="44"/>
        <v>9.99603822795697</v>
      </c>
      <c r="I169" s="81">
        <f t="shared" si="41"/>
        <v>0</v>
      </c>
      <c r="J169" s="81">
        <f t="shared" si="42"/>
        <v>1</v>
      </c>
      <c r="K169" s="81"/>
      <c r="L169" s="1"/>
      <c r="M169" s="1"/>
      <c r="N169" s="1"/>
      <c r="O169" s="1"/>
      <c r="P169" s="1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</row>
    <row r="170" spans="2:31" s="35" customFormat="1" ht="15">
      <c r="B170" s="33"/>
      <c r="C170" s="33"/>
      <c r="D170" s="35">
        <v>102</v>
      </c>
      <c r="F170" s="36">
        <f t="shared" si="43"/>
        <v>1.202395209580843</v>
      </c>
      <c r="G170" s="33">
        <f t="shared" si="40"/>
        <v>23.766933230372025</v>
      </c>
      <c r="H170" s="33">
        <f t="shared" si="44"/>
        <v>9.978061543016727</v>
      </c>
      <c r="I170" s="33">
        <f t="shared" si="41"/>
        <v>0</v>
      </c>
      <c r="J170" s="33">
        <f t="shared" si="42"/>
        <v>1</v>
      </c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</row>
    <row r="171" spans="2:31" s="35" customFormat="1" ht="15">
      <c r="B171" s="33"/>
      <c r="C171" s="33"/>
      <c r="D171" s="35">
        <v>103</v>
      </c>
      <c r="F171" s="36">
        <f t="shared" si="43"/>
        <v>1.2047904191616814</v>
      </c>
      <c r="G171" s="33">
        <f t="shared" si="40"/>
        <v>24.474757900797723</v>
      </c>
      <c r="H171" s="33">
        <f t="shared" si="44"/>
        <v>9.924325229310549</v>
      </c>
      <c r="I171" s="33">
        <f t="shared" si="41"/>
        <v>0</v>
      </c>
      <c r="J171" s="33">
        <f t="shared" si="42"/>
        <v>1</v>
      </c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</row>
    <row r="172" spans="2:31" s="35" customFormat="1" ht="15">
      <c r="B172" s="33"/>
      <c r="C172" s="33"/>
      <c r="D172" s="35">
        <v>104</v>
      </c>
      <c r="F172" s="36">
        <f t="shared" si="43"/>
        <v>1.2071856287425198</v>
      </c>
      <c r="G172" s="33">
        <f t="shared" si="40"/>
        <v>24.65728033166606</v>
      </c>
      <c r="H172" s="33">
        <f t="shared" si="44"/>
        <v>9.835407034321138</v>
      </c>
      <c r="I172" s="33">
        <f t="shared" si="41"/>
        <v>0</v>
      </c>
      <c r="J172" s="33">
        <f t="shared" si="42"/>
        <v>1</v>
      </c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</row>
    <row r="173" spans="2:31" s="35" customFormat="1" ht="15">
      <c r="B173" s="33"/>
      <c r="C173" s="33"/>
      <c r="D173" s="35">
        <v>105</v>
      </c>
      <c r="F173" s="36">
        <f t="shared" si="43"/>
        <v>1.2095808383233582</v>
      </c>
      <c r="G173" s="33">
        <f t="shared" si="40"/>
        <v>24.302639834223104</v>
      </c>
      <c r="H173" s="33">
        <f t="shared" si="44"/>
        <v>9.712258371516782</v>
      </c>
      <c r="I173" s="33">
        <f t="shared" si="41"/>
        <v>0</v>
      </c>
      <c r="J173" s="33">
        <f t="shared" si="42"/>
        <v>1</v>
      </c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</row>
    <row r="174" spans="2:31" s="35" customFormat="1" ht="15">
      <c r="B174" s="33"/>
      <c r="C174" s="33"/>
      <c r="D174" s="35">
        <v>106</v>
      </c>
      <c r="F174" s="36">
        <f t="shared" si="43"/>
        <v>1.2119760479041966</v>
      </c>
      <c r="G174" s="33">
        <f t="shared" si="40"/>
        <v>23.43382802221152</v>
      </c>
      <c r="H174" s="33">
        <f t="shared" si="44"/>
        <v>9.556187374233907</v>
      </c>
      <c r="I174" s="33">
        <f t="shared" si="41"/>
        <v>0</v>
      </c>
      <c r="J174" s="33">
        <f t="shared" si="42"/>
        <v>1</v>
      </c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</row>
    <row r="175" spans="2:31" s="35" customFormat="1" ht="15">
      <c r="B175" s="33"/>
      <c r="C175" s="33"/>
      <c r="D175" s="35">
        <v>107</v>
      </c>
      <c r="F175" s="36">
        <f t="shared" si="43"/>
        <v>1.214371257485035</v>
      </c>
      <c r="G175" s="33">
        <f t="shared" si="40"/>
        <v>22.106222443810157</v>
      </c>
      <c r="H175" s="33">
        <f t="shared" si="44"/>
        <v>9.368835765883718</v>
      </c>
      <c r="I175" s="33">
        <f t="shared" si="41"/>
        <v>0</v>
      </c>
      <c r="J175" s="33">
        <f t="shared" si="42"/>
        <v>1</v>
      </c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</row>
    <row r="176" spans="2:31" s="35" customFormat="1" ht="15">
      <c r="B176" s="33"/>
      <c r="C176" s="33"/>
      <c r="D176" s="35">
        <v>108</v>
      </c>
      <c r="F176" s="36">
        <f t="shared" si="43"/>
        <v>1.2167664670658733</v>
      </c>
      <c r="G176" s="33">
        <f t="shared" si="40"/>
        <v>20.40174631163486</v>
      </c>
      <c r="H176" s="33">
        <f t="shared" si="44"/>
        <v>9.152150118314392</v>
      </c>
      <c r="I176" s="33">
        <f t="shared" si="41"/>
        <v>0</v>
      </c>
      <c r="J176" s="33">
        <f t="shared" si="42"/>
        <v>1</v>
      </c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</row>
    <row r="177" spans="2:31" s="35" customFormat="1" ht="15">
      <c r="B177" s="33"/>
      <c r="C177" s="33"/>
      <c r="D177" s="35">
        <v>109</v>
      </c>
      <c r="F177" s="36">
        <f t="shared" si="43"/>
        <v>1.2191616766467117</v>
      </c>
      <c r="G177" s="33">
        <f t="shared" si="40"/>
        <v>18.42051041347817</v>
      </c>
      <c r="H177" s="33">
        <f t="shared" si="44"/>
        <v>8.908348201779527</v>
      </c>
      <c r="I177" s="33">
        <f t="shared" si="41"/>
        <v>0</v>
      </c>
      <c r="J177" s="33">
        <f t="shared" si="42"/>
        <v>1</v>
      </c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</row>
    <row r="178" spans="2:31" s="35" customFormat="1" ht="15">
      <c r="B178" s="33"/>
      <c r="C178" s="33"/>
      <c r="D178" s="35">
        <v>110</v>
      </c>
      <c r="F178" s="36">
        <f t="shared" si="43"/>
        <v>1.22155688622755</v>
      </c>
      <c r="G178" s="33">
        <f t="shared" si="40"/>
        <v>16.271121443077366</v>
      </c>
      <c r="H178" s="33">
        <f t="shared" si="44"/>
        <v>8.63988123947836</v>
      </c>
      <c r="I178" s="33">
        <f t="shared" si="41"/>
        <v>0</v>
      </c>
      <c r="J178" s="33">
        <f t="shared" si="42"/>
        <v>1</v>
      </c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</row>
    <row r="179" spans="2:31" s="35" customFormat="1" ht="15">
      <c r="B179" s="33"/>
      <c r="C179" s="33"/>
      <c r="D179" s="35">
        <v>111</v>
      </c>
      <c r="F179" s="36">
        <f t="shared" si="43"/>
        <v>1.2239520958083885</v>
      </c>
      <c r="G179" s="33">
        <f t="shared" si="40"/>
        <v>14.060955148862401</v>
      </c>
      <c r="H179" s="33">
        <f t="shared" si="44"/>
        <v>8.34939296394011</v>
      </c>
      <c r="I179" s="33">
        <f t="shared" si="41"/>
        <v>0</v>
      </c>
      <c r="J179" s="33">
        <f t="shared" si="42"/>
        <v>1</v>
      </c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</row>
    <row r="180" spans="2:31" s="35" customFormat="1" ht="15">
      <c r="B180" s="33"/>
      <c r="C180" s="33"/>
      <c r="D180" s="35">
        <v>112</v>
      </c>
      <c r="F180" s="36">
        <f t="shared" si="43"/>
        <v>1.2263473053892269</v>
      </c>
      <c r="G180" s="33">
        <f t="shared" si="40"/>
        <v>11.887585924953486</v>
      </c>
      <c r="H180" s="33">
        <f t="shared" si="44"/>
        <v>8.039676429474085</v>
      </c>
      <c r="I180" s="33">
        <f t="shared" si="41"/>
        <v>0</v>
      </c>
      <c r="J180" s="33">
        <f t="shared" si="42"/>
        <v>1</v>
      </c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</row>
    <row r="181" spans="2:31" s="35" customFormat="1" ht="15">
      <c r="B181" s="33"/>
      <c r="C181" s="33"/>
      <c r="D181" s="35">
        <v>113</v>
      </c>
      <c r="F181" s="36">
        <f t="shared" si="43"/>
        <v>1.2287425149700653</v>
      </c>
      <c r="G181" s="33">
        <f t="shared" si="40"/>
        <v>9.832275183438918</v>
      </c>
      <c r="H181" s="33">
        <f t="shared" si="44"/>
        <v>7.713629563365868</v>
      </c>
      <c r="I181" s="33">
        <f t="shared" si="41"/>
        <v>0</v>
      </c>
      <c r="J181" s="33">
        <f t="shared" si="42"/>
        <v>1</v>
      </c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</row>
    <row r="182" spans="2:31" s="35" customFormat="1" ht="15">
      <c r="B182" s="33"/>
      <c r="C182" s="33"/>
      <c r="D182" s="35">
        <v>114</v>
      </c>
      <c r="F182" s="36">
        <f t="shared" si="43"/>
        <v>1.2311377245509036</v>
      </c>
      <c r="G182" s="33">
        <f aca="true" t="shared" si="45" ref="G182:G197">1/($A$69*SQRT(2*3.14))*EXP(-((F182-$Y$4)*(F182-$Y$4))/(($A$69*$A$69)*2))</f>
        <v>7.956020447433579</v>
      </c>
      <c r="H182" s="33">
        <f t="shared" si="44"/>
        <v>7.374210438371054</v>
      </c>
      <c r="I182" s="33">
        <f aca="true" t="shared" si="46" ref="I182:I197">IF(OR(J182-J181=1,J182-J181=-1),$R$148,0)</f>
        <v>0</v>
      </c>
      <c r="J182" s="33">
        <f aca="true" t="shared" si="47" ref="J182:J197">IF(OR(F182&lt;$AB$6,F182&gt;$AB$7),0,1)</f>
        <v>1</v>
      </c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</row>
    <row r="183" spans="2:31" s="35" customFormat="1" ht="15">
      <c r="B183" s="33"/>
      <c r="C183" s="33"/>
      <c r="D183" s="35">
        <v>115</v>
      </c>
      <c r="F183" s="36">
        <f aca="true" t="shared" si="48" ref="F183:F198">F182+$P$68</f>
        <v>1.233532934131742</v>
      </c>
      <c r="G183" s="33">
        <f t="shared" si="45"/>
        <v>6.298240873074523</v>
      </c>
      <c r="H183" s="33">
        <f aca="true" t="shared" si="49" ref="H183:H198">1/($AB$5*SQRT(2*3.14))*EXP(-((F183-$AB$4)*(F183-$AB$4))/(($AB$5*$AB$5)*2))</f>
        <v>7.024393221254554</v>
      </c>
      <c r="I183" s="33">
        <f t="shared" si="46"/>
        <v>0</v>
      </c>
      <c r="J183" s="33">
        <f t="shared" si="47"/>
        <v>1</v>
      </c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</row>
    <row r="184" spans="2:31" s="35" customFormat="1" ht="15">
      <c r="B184" s="33"/>
      <c r="C184" s="33"/>
      <c r="D184" s="35">
        <v>116</v>
      </c>
      <c r="F184" s="36">
        <f t="shared" si="48"/>
        <v>1.2359281437125804</v>
      </c>
      <c r="G184" s="33">
        <f t="shared" si="45"/>
        <v>4.877801816750205</v>
      </c>
      <c r="H184" s="33">
        <f t="shared" si="49"/>
        <v>6.66712569850129</v>
      </c>
      <c r="I184" s="33">
        <f t="shared" si="46"/>
        <v>0</v>
      </c>
      <c r="J184" s="33">
        <f t="shared" si="47"/>
        <v>1</v>
      </c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</row>
    <row r="185" spans="2:31" s="35" customFormat="1" ht="15">
      <c r="B185" s="33"/>
      <c r="C185" s="33"/>
      <c r="D185" s="35">
        <v>117</v>
      </c>
      <c r="F185" s="36">
        <f t="shared" si="48"/>
        <v>1.2383233532934188</v>
      </c>
      <c r="G185" s="33">
        <f t="shared" si="45"/>
        <v>3.695817741908937</v>
      </c>
      <c r="H185" s="33">
        <f t="shared" si="49"/>
        <v>6.30528920357684</v>
      </c>
      <c r="I185" s="33">
        <f t="shared" si="46"/>
        <v>0</v>
      </c>
      <c r="J185" s="33">
        <f t="shared" si="47"/>
        <v>1</v>
      </c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</row>
    <row r="186" spans="2:31" s="35" customFormat="1" ht="15">
      <c r="B186" s="33"/>
      <c r="C186" s="33"/>
      <c r="D186" s="35">
        <v>118</v>
      </c>
      <c r="F186" s="36">
        <f t="shared" si="48"/>
        <v>1.2407185628742572</v>
      </c>
      <c r="G186" s="33">
        <f t="shared" si="45"/>
        <v>2.739545075706008</v>
      </c>
      <c r="H186" s="33">
        <f t="shared" si="49"/>
        <v>5.941661673639231</v>
      </c>
      <c r="I186" s="33">
        <f t="shared" si="46"/>
        <v>0</v>
      </c>
      <c r="J186" s="33">
        <f t="shared" si="47"/>
        <v>1</v>
      </c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</row>
    <row r="187" spans="2:31" s="35" customFormat="1" ht="15">
      <c r="B187" s="33"/>
      <c r="C187" s="33"/>
      <c r="D187" s="35">
        <v>119</v>
      </c>
      <c r="F187" s="36">
        <f t="shared" si="48"/>
        <v>1.2431137724550956</v>
      </c>
      <c r="G187" s="33">
        <f t="shared" si="45"/>
        <v>1.9866797493302812</v>
      </c>
      <c r="H187" s="33">
        <f t="shared" si="49"/>
        <v>5.5788844513323514</v>
      </c>
      <c r="I187" s="33">
        <f t="shared" si="46"/>
        <v>0</v>
      </c>
      <c r="J187" s="33">
        <f t="shared" si="47"/>
        <v>1</v>
      </c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</row>
    <row r="188" spans="2:31" s="35" customFormat="1" ht="15">
      <c r="B188" s="33"/>
      <c r="C188" s="33"/>
      <c r="D188" s="35">
        <v>120</v>
      </c>
      <c r="F188" s="36">
        <f t="shared" si="48"/>
        <v>1.245508982035934</v>
      </c>
      <c r="G188" s="33">
        <f t="shared" si="45"/>
        <v>1.409479582196546</v>
      </c>
      <c r="H188" s="33">
        <f t="shared" si="49"/>
        <v>5.219433323528729</v>
      </c>
      <c r="I188" s="33">
        <f t="shared" si="46"/>
        <v>0</v>
      </c>
      <c r="J188" s="33">
        <f t="shared" si="47"/>
        <v>1</v>
      </c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</row>
    <row r="189" spans="2:31" s="35" customFormat="1" ht="15">
      <c r="B189" s="33"/>
      <c r="C189" s="33"/>
      <c r="D189" s="35">
        <v>121</v>
      </c>
      <c r="F189" s="36">
        <f t="shared" si="48"/>
        <v>1.2479041916167724</v>
      </c>
      <c r="G189" s="33">
        <f t="shared" si="45"/>
        <v>0.9782981288692327</v>
      </c>
      <c r="H189" s="33">
        <f t="shared" si="49"/>
        <v>4.865594158119303</v>
      </c>
      <c r="I189" s="33">
        <f t="shared" si="46"/>
        <v>0</v>
      </c>
      <c r="J189" s="33">
        <f t="shared" si="47"/>
        <v>1</v>
      </c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</row>
    <row r="190" spans="2:10" s="35" customFormat="1" ht="6.75">
      <c r="B190" s="33"/>
      <c r="C190" s="33"/>
      <c r="D190" s="35">
        <v>122</v>
      </c>
      <c r="F190" s="36">
        <f t="shared" si="48"/>
        <v>1.2502994011976107</v>
      </c>
      <c r="G190" s="33">
        <f t="shared" si="45"/>
        <v>0.6643013980934566</v>
      </c>
      <c r="H190" s="33">
        <f t="shared" si="49"/>
        <v>4.5194433666553655</v>
      </c>
      <c r="I190" s="33">
        <f t="shared" si="46"/>
        <v>0</v>
      </c>
      <c r="J190" s="33">
        <f t="shared" si="47"/>
        <v>1</v>
      </c>
    </row>
    <row r="191" spans="2:10" s="35" customFormat="1" ht="6.75">
      <c r="B191" s="33"/>
      <c r="C191" s="33"/>
      <c r="D191" s="35">
        <v>123</v>
      </c>
      <c r="F191" s="36">
        <f t="shared" si="48"/>
        <v>1.2526946107784491</v>
      </c>
      <c r="G191" s="33">
        <f t="shared" si="45"/>
        <v>0.441306800347284</v>
      </c>
      <c r="H191" s="33">
        <f t="shared" si="49"/>
        <v>4.182833289148393</v>
      </c>
      <c r="I191" s="33">
        <f t="shared" si="46"/>
        <v>0</v>
      </c>
      <c r="J191" s="33">
        <f t="shared" si="47"/>
        <v>1</v>
      </c>
    </row>
    <row r="192" spans="2:10" s="35" customFormat="1" ht="6.75">
      <c r="B192" s="33"/>
      <c r="C192" s="33"/>
      <c r="D192" s="35">
        <v>124</v>
      </c>
      <c r="F192" s="36">
        <f t="shared" si="48"/>
        <v>1.2550898203592875</v>
      </c>
      <c r="G192" s="33">
        <f t="shared" si="45"/>
        <v>0.2868121749606133</v>
      </c>
      <c r="H192" s="33">
        <f t="shared" si="49"/>
        <v>3.8573824716171043</v>
      </c>
      <c r="I192" s="33">
        <f t="shared" si="46"/>
        <v>0</v>
      </c>
      <c r="J192" s="33">
        <f t="shared" si="47"/>
        <v>1</v>
      </c>
    </row>
    <row r="193" spans="2:10" s="35" customFormat="1" ht="6.75">
      <c r="B193" s="33"/>
      <c r="C193" s="33"/>
      <c r="D193" s="35">
        <v>125</v>
      </c>
      <c r="F193" s="36">
        <f t="shared" si="48"/>
        <v>1.257485029940126</v>
      </c>
      <c r="G193" s="33">
        <f t="shared" si="45"/>
        <v>0.1823627176703327</v>
      </c>
      <c r="H193" s="33">
        <f t="shared" si="49"/>
        <v>3.5444706905715027</v>
      </c>
      <c r="I193" s="33">
        <f t="shared" si="46"/>
        <v>0</v>
      </c>
      <c r="J193" s="33">
        <f t="shared" si="47"/>
        <v>1</v>
      </c>
    </row>
    <row r="194" spans="2:10" s="35" customFormat="1" ht="6.75">
      <c r="B194" s="33"/>
      <c r="C194" s="33"/>
      <c r="D194" s="35">
        <v>126</v>
      </c>
      <c r="F194" s="36">
        <f t="shared" si="48"/>
        <v>1.2598802395209643</v>
      </c>
      <c r="G194" s="33">
        <f t="shared" si="45"/>
        <v>0.11343734106484869</v>
      </c>
      <c r="H194" s="33">
        <f t="shared" si="49"/>
        <v>3.245238474513853</v>
      </c>
      <c r="I194" s="33">
        <f t="shared" si="46"/>
        <v>0</v>
      </c>
      <c r="J194" s="33">
        <f t="shared" si="47"/>
        <v>1</v>
      </c>
    </row>
    <row r="195" spans="2:10" s="35" customFormat="1" ht="6.75">
      <c r="B195" s="33"/>
      <c r="C195" s="33"/>
      <c r="D195" s="35">
        <v>127</v>
      </c>
      <c r="F195" s="36">
        <f t="shared" si="48"/>
        <v>1.2622754491018027</v>
      </c>
      <c r="G195" s="33">
        <f t="shared" si="45"/>
        <v>0.06903312452423355</v>
      </c>
      <c r="H195" s="33">
        <f t="shared" si="49"/>
        <v>2.9605907830546463</v>
      </c>
      <c r="I195" s="33">
        <f t="shared" si="46"/>
        <v>0</v>
      </c>
      <c r="J195" s="33">
        <f t="shared" si="47"/>
        <v>1</v>
      </c>
    </row>
    <row r="196" spans="2:10" s="35" customFormat="1" ht="6.75">
      <c r="B196" s="33"/>
      <c r="C196" s="33"/>
      <c r="D196" s="35">
        <v>128</v>
      </c>
      <c r="F196" s="36">
        <f t="shared" si="48"/>
        <v>1.264670658682641</v>
      </c>
      <c r="G196" s="33">
        <f t="shared" si="45"/>
        <v>0.04109987798625849</v>
      </c>
      <c r="H196" s="33">
        <f t="shared" si="49"/>
        <v>2.691204431048488</v>
      </c>
      <c r="I196" s="33">
        <f t="shared" si="46"/>
        <v>0</v>
      </c>
      <c r="J196" s="33">
        <f t="shared" si="47"/>
        <v>1</v>
      </c>
    </row>
    <row r="197" spans="2:10" s="35" customFormat="1" ht="6.75">
      <c r="B197" s="33"/>
      <c r="C197" s="33"/>
      <c r="D197" s="35">
        <v>129</v>
      </c>
      <c r="F197" s="36">
        <f t="shared" si="48"/>
        <v>1.2670658682634794</v>
      </c>
      <c r="G197" s="33">
        <f t="shared" si="45"/>
        <v>0.02393894706329419</v>
      </c>
      <c r="H197" s="33">
        <f t="shared" si="49"/>
        <v>2.4375387892228</v>
      </c>
      <c r="I197" s="33">
        <f t="shared" si="46"/>
        <v>0</v>
      </c>
      <c r="J197" s="33">
        <f t="shared" si="47"/>
        <v>1</v>
      </c>
    </row>
    <row r="198" spans="2:10" s="35" customFormat="1" ht="6.75">
      <c r="B198" s="33"/>
      <c r="C198" s="33"/>
      <c r="D198" s="35">
        <v>130</v>
      </c>
      <c r="F198" s="36">
        <f t="shared" si="48"/>
        <v>1.2694610778443178</v>
      </c>
      <c r="G198" s="33">
        <f aca="true" t="shared" si="50" ref="G198:G213">1/($A$69*SQRT(2*3.14))*EXP(-((F198-$Y$4)*(F198-$Y$4))/(($A$69*$A$69)*2))</f>
        <v>0.0136411525564983</v>
      </c>
      <c r="H198" s="33">
        <f t="shared" si="49"/>
        <v>2.1998492544026207</v>
      </c>
      <c r="I198" s="33">
        <f aca="true" t="shared" si="51" ref="I198:I213">IF(OR(J198-J197=1,J198-J197=-1),$R$148,0)</f>
        <v>0</v>
      </c>
      <c r="J198" s="33">
        <f aca="true" t="shared" si="52" ref="J198:J213">IF(OR(F198&lt;$AB$6,F198&gt;$AB$7),0,1)</f>
        <v>1</v>
      </c>
    </row>
    <row r="199" spans="2:10" s="35" customFormat="1" ht="6.75">
      <c r="B199" s="33"/>
      <c r="C199" s="33"/>
      <c r="D199" s="35">
        <v>131</v>
      </c>
      <c r="F199" s="36">
        <f aca="true" t="shared" si="53" ref="F199:F214">F198+$P$68</f>
        <v>1.2718562874251562</v>
      </c>
      <c r="G199" s="33">
        <f t="shared" si="50"/>
        <v>0.007604638907338079</v>
      </c>
      <c r="H199" s="33">
        <f aca="true" t="shared" si="54" ref="H199:H214">1/($AB$5*SQRT(2*3.14))*EXP(-((F199-$AB$4)*(F199-$AB$4))/(($AB$5*$AB$5)*2))</f>
        <v>1.978202961302179</v>
      </c>
      <c r="I199" s="33">
        <f t="shared" si="51"/>
        <v>0</v>
      </c>
      <c r="J199" s="33">
        <f t="shared" si="52"/>
        <v>1</v>
      </c>
    </row>
    <row r="200" spans="2:10" s="35" customFormat="1" ht="6.75">
      <c r="B200" s="33"/>
      <c r="C200" s="33"/>
      <c r="D200" s="35">
        <v>132</v>
      </c>
      <c r="F200" s="36">
        <f t="shared" si="53"/>
        <v>1.2742514970059946</v>
      </c>
      <c r="G200" s="33">
        <f t="shared" si="50"/>
        <v>0.004147511875476161</v>
      </c>
      <c r="H200" s="33">
        <f t="shared" si="54"/>
        <v>1.7724962030722</v>
      </c>
      <c r="I200" s="33">
        <f t="shared" si="51"/>
        <v>0</v>
      </c>
      <c r="J200" s="33">
        <f t="shared" si="52"/>
        <v>1</v>
      </c>
    </row>
    <row r="201" spans="2:10" s="35" customFormat="1" ht="6.75">
      <c r="B201" s="33"/>
      <c r="C201" s="33"/>
      <c r="D201" s="35">
        <v>133</v>
      </c>
      <c r="F201" s="36">
        <f t="shared" si="53"/>
        <v>1.276646706586833</v>
      </c>
      <c r="G201" s="33">
        <f t="shared" si="50"/>
        <v>0.002212983566892989</v>
      </c>
      <c r="H201" s="33">
        <f t="shared" si="54"/>
        <v>1.5824730379971226</v>
      </c>
      <c r="I201" s="33">
        <f t="shared" si="51"/>
        <v>0</v>
      </c>
      <c r="J201" s="33">
        <f t="shared" si="52"/>
        <v>1</v>
      </c>
    </row>
    <row r="202" spans="2:10" s="35" customFormat="1" ht="6.75">
      <c r="B202" s="33"/>
      <c r="C202" s="33"/>
      <c r="D202" s="35">
        <v>134</v>
      </c>
      <c r="F202" s="36">
        <f t="shared" si="53"/>
        <v>1.2790419161676714</v>
      </c>
      <c r="G202" s="33">
        <f t="shared" si="50"/>
        <v>0.0011551815647271365</v>
      </c>
      <c r="H202" s="33">
        <f t="shared" si="54"/>
        <v>1.4077445831825415</v>
      </c>
      <c r="I202" s="33">
        <f t="shared" si="51"/>
        <v>0</v>
      </c>
      <c r="J202" s="33">
        <f t="shared" si="52"/>
        <v>1</v>
      </c>
    </row>
    <row r="203" spans="2:10" s="35" customFormat="1" ht="6.75">
      <c r="B203" s="33"/>
      <c r="C203" s="33"/>
      <c r="D203" s="35">
        <v>135</v>
      </c>
      <c r="F203" s="36">
        <f t="shared" si="53"/>
        <v>1.2814371257485098</v>
      </c>
      <c r="G203" s="33">
        <f t="shared" si="50"/>
        <v>0.0005899345337032412</v>
      </c>
      <c r="H203" s="33">
        <f t="shared" si="54"/>
        <v>1.2478085307335525</v>
      </c>
      <c r="I203" s="33">
        <f t="shared" si="51"/>
        <v>0</v>
      </c>
      <c r="J203" s="33">
        <f t="shared" si="52"/>
        <v>1</v>
      </c>
    </row>
    <row r="204" spans="2:10" s="35" customFormat="1" ht="6.75">
      <c r="B204" s="33"/>
      <c r="C204" s="33"/>
      <c r="D204" s="35">
        <v>136</v>
      </c>
      <c r="F204" s="36">
        <f t="shared" si="53"/>
        <v>1.2838323353293482</v>
      </c>
      <c r="G204" s="33">
        <f t="shared" si="50"/>
        <v>0.0002947398782075816</v>
      </c>
      <c r="H204" s="33">
        <f t="shared" si="54"/>
        <v>1.102068465595572</v>
      </c>
      <c r="I204" s="33">
        <f t="shared" si="51"/>
        <v>0</v>
      </c>
      <c r="J204" s="33">
        <f t="shared" si="52"/>
        <v>1</v>
      </c>
    </row>
    <row r="205" spans="2:10" s="35" customFormat="1" ht="6.75">
      <c r="B205" s="33"/>
      <c r="C205" s="33"/>
      <c r="D205" s="35">
        <v>137</v>
      </c>
      <c r="F205" s="36">
        <f t="shared" si="53"/>
        <v>1.2862275449101865</v>
      </c>
      <c r="G205" s="33">
        <f t="shared" si="50"/>
        <v>0.0001440640067934702</v>
      </c>
      <c r="H205" s="33">
        <f t="shared" si="54"/>
        <v>0.9698526146301701</v>
      </c>
      <c r="I205" s="33">
        <f t="shared" si="51"/>
        <v>0</v>
      </c>
      <c r="J205" s="33">
        <f t="shared" si="52"/>
        <v>1</v>
      </c>
    </row>
    <row r="206" spans="2:10" s="35" customFormat="1" ht="6.75">
      <c r="B206" s="33"/>
      <c r="C206" s="33"/>
      <c r="D206" s="35">
        <v>138</v>
      </c>
      <c r="F206" s="36">
        <f t="shared" si="53"/>
        <v>1.288622754491025</v>
      </c>
      <c r="G206" s="33">
        <f t="shared" si="50"/>
        <v>6.888958824143989E-05</v>
      </c>
      <c r="H206" s="33">
        <f t="shared" si="54"/>
        <v>0.8504317113650449</v>
      </c>
      <c r="I206" s="33">
        <f t="shared" si="51"/>
        <v>0</v>
      </c>
      <c r="J206" s="33">
        <f t="shared" si="52"/>
        <v>1</v>
      </c>
    </row>
    <row r="207" spans="2:10" s="35" customFormat="1" ht="6.75">
      <c r="B207" s="33"/>
      <c r="C207" s="33"/>
      <c r="D207" s="35">
        <v>139</v>
      </c>
      <c r="F207" s="36">
        <f t="shared" si="53"/>
        <v>1.2910179640718633</v>
      </c>
      <c r="G207" s="33">
        <f t="shared" si="50"/>
        <v>3.222798836438732E-05</v>
      </c>
      <c r="H207" s="33">
        <f t="shared" si="54"/>
        <v>0.7430357180237155</v>
      </c>
      <c r="I207" s="33">
        <f t="shared" si="51"/>
        <v>0</v>
      </c>
      <c r="J207" s="33">
        <f t="shared" si="52"/>
        <v>1</v>
      </c>
    </row>
    <row r="208" spans="2:10" s="35" customFormat="1" ht="6.75">
      <c r="B208" s="33"/>
      <c r="C208" s="33"/>
      <c r="D208" s="35">
        <v>140</v>
      </c>
      <c r="F208" s="36">
        <f t="shared" si="53"/>
        <v>1.2934131736527017</v>
      </c>
      <c r="G208" s="33">
        <f t="shared" si="50"/>
        <v>1.4750078007761176E-05</v>
      </c>
      <c r="H208" s="33">
        <f t="shared" si="54"/>
        <v>0.6468692039087564</v>
      </c>
      <c r="I208" s="33">
        <f t="shared" si="51"/>
        <v>0</v>
      </c>
      <c r="J208" s="33">
        <f t="shared" si="52"/>
        <v>1</v>
      </c>
    </row>
    <row r="209" spans="2:10" s="35" customFormat="1" ht="6.75">
      <c r="B209" s="33"/>
      <c r="C209" s="33"/>
      <c r="D209" s="35">
        <v>141</v>
      </c>
      <c r="F209" s="36">
        <f t="shared" si="53"/>
        <v>1.29580838323354</v>
      </c>
      <c r="G209" s="33">
        <f t="shared" si="50"/>
        <v>6.604454398324675E-06</v>
      </c>
      <c r="H209" s="33">
        <f t="shared" si="54"/>
        <v>0.5611252352070554</v>
      </c>
      <c r="I209" s="33">
        <f t="shared" si="51"/>
        <v>0</v>
      </c>
      <c r="J209" s="33">
        <f t="shared" si="52"/>
        <v>1</v>
      </c>
    </row>
    <row r="210" spans="2:10" s="35" customFormat="1" ht="6.75">
      <c r="B210" s="33"/>
      <c r="C210" s="33"/>
      <c r="D210" s="35">
        <v>142</v>
      </c>
      <c r="F210" s="36">
        <f t="shared" si="53"/>
        <v>1.2982035928143785</v>
      </c>
      <c r="G210" s="33">
        <f t="shared" si="50"/>
        <v>2.8930842721252677E-06</v>
      </c>
      <c r="H210" s="33">
        <f t="shared" si="54"/>
        <v>0.4849976842930161</v>
      </c>
      <c r="I210" s="33">
        <f t="shared" si="51"/>
        <v>0</v>
      </c>
      <c r="J210" s="33">
        <f t="shared" si="52"/>
        <v>1</v>
      </c>
    </row>
    <row r="211" spans="2:10" s="35" customFormat="1" ht="6.75">
      <c r="B211" s="33"/>
      <c r="C211" s="33"/>
      <c r="D211" s="35">
        <v>143</v>
      </c>
      <c r="F211" s="36">
        <f t="shared" si="53"/>
        <v>1.3005988023952169</v>
      </c>
      <c r="G211" s="33">
        <f t="shared" si="50"/>
        <v>1.2398431088359866E-06</v>
      </c>
      <c r="H211" s="33">
        <f t="shared" si="54"/>
        <v>0.4176919153984036</v>
      </c>
      <c r="I211" s="33">
        <f t="shared" si="51"/>
        <v>0</v>
      </c>
      <c r="J211" s="33">
        <f t="shared" si="52"/>
        <v>1</v>
      </c>
    </row>
    <row r="212" spans="2:10" s="35" customFormat="1" ht="6.75">
      <c r="B212" s="33"/>
      <c r="C212" s="33"/>
      <c r="D212" s="35">
        <v>144</v>
      </c>
      <c r="F212" s="36">
        <f t="shared" si="53"/>
        <v>1.3029940119760552</v>
      </c>
      <c r="G212" s="33">
        <f t="shared" si="50"/>
        <v>5.198210838929328E-07</v>
      </c>
      <c r="H212" s="33">
        <f t="shared" si="54"/>
        <v>0.35843384716369486</v>
      </c>
      <c r="I212" s="33">
        <f t="shared" si="51"/>
        <v>0</v>
      </c>
      <c r="J212" s="33">
        <f t="shared" si="52"/>
        <v>1</v>
      </c>
    </row>
    <row r="213" spans="2:10" s="35" customFormat="1" ht="6.75">
      <c r="B213" s="33"/>
      <c r="C213" s="33"/>
      <c r="D213" s="35">
        <v>145</v>
      </c>
      <c r="F213" s="36">
        <f t="shared" si="53"/>
        <v>1.3053892215568936</v>
      </c>
      <c r="G213" s="33">
        <f t="shared" si="50"/>
        <v>2.1321735824414337E-07</v>
      </c>
      <c r="H213" s="33">
        <f t="shared" si="54"/>
        <v>0.30647743044569564</v>
      </c>
      <c r="I213" s="33">
        <f t="shared" si="51"/>
        <v>0</v>
      </c>
      <c r="J213" s="33">
        <f t="shared" si="52"/>
        <v>1</v>
      </c>
    </row>
    <row r="214" spans="2:10" s="35" customFormat="1" ht="6.75">
      <c r="B214" s="33"/>
      <c r="C214" s="33"/>
      <c r="D214" s="35">
        <v>146</v>
      </c>
      <c r="F214" s="36">
        <f t="shared" si="53"/>
        <v>1.307784431137732</v>
      </c>
      <c r="G214" s="33">
        <f aca="true" t="shared" si="55" ref="G214:G229">1/($A$69*SQRT(2*3.14))*EXP(-((F214-$Y$4)*(F214-$Y$4))/(($A$69*$A$69)*2))</f>
        <v>8.55603860772246E-08</v>
      </c>
      <c r="H214" s="33">
        <f t="shared" si="54"/>
        <v>0.26111061146776554</v>
      </c>
      <c r="I214" s="33">
        <f aca="true" t="shared" si="56" ref="I214:I229">IF(OR(J214-J213=1,J214-J213=-1),$R$148,0)</f>
        <v>0</v>
      </c>
      <c r="J214" s="33">
        <f aca="true" t="shared" si="57" ref="J214:J229">IF(OR(F214&lt;$AB$6,F214&gt;$AB$7),0,1)</f>
        <v>1</v>
      </c>
    </row>
    <row r="215" spans="2:10" s="35" customFormat="1" ht="6.75">
      <c r="B215" s="33"/>
      <c r="C215" s="33"/>
      <c r="D215" s="35">
        <v>147</v>
      </c>
      <c r="F215" s="36">
        <f aca="true" t="shared" si="58" ref="F215:F230">F214+$P$68</f>
        <v>1.3101796407185704</v>
      </c>
      <c r="G215" s="33">
        <f t="shared" si="55"/>
        <v>3.358956834077614E-08</v>
      </c>
      <c r="H215" s="33">
        <f aca="true" t="shared" si="59" ref="H215:H230">1/($AB$5*SQRT(2*3.14))*EXP(-((F215-$AB$4)*(F215-$AB$4))/(($AB$5*$AB$5)*2))</f>
        <v>0.22165987585379382</v>
      </c>
      <c r="I215" s="33">
        <f t="shared" si="56"/>
        <v>0</v>
      </c>
      <c r="J215" s="33">
        <f t="shared" si="57"/>
        <v>1</v>
      </c>
    </row>
    <row r="216" spans="2:10" s="35" customFormat="1" ht="6.75">
      <c r="B216" s="33"/>
      <c r="C216" s="33"/>
      <c r="D216" s="35">
        <v>148</v>
      </c>
      <c r="F216" s="36">
        <f t="shared" si="58"/>
        <v>1.3125748502994088</v>
      </c>
      <c r="G216" s="33">
        <f t="shared" si="55"/>
        <v>1.2900829028786374E-08</v>
      </c>
      <c r="H216" s="33">
        <f t="shared" si="59"/>
        <v>0.1874934883996876</v>
      </c>
      <c r="I216" s="33">
        <f t="shared" si="56"/>
        <v>0</v>
      </c>
      <c r="J216" s="33">
        <f t="shared" si="57"/>
        <v>1</v>
      </c>
    </row>
    <row r="217" spans="2:10" s="35" customFormat="1" ht="6.75">
      <c r="B217" s="33"/>
      <c r="C217" s="33"/>
      <c r="D217" s="35">
        <v>149</v>
      </c>
      <c r="F217" s="36">
        <f t="shared" si="58"/>
        <v>1.3149700598802472</v>
      </c>
      <c r="G217" s="33">
        <f t="shared" si="55"/>
        <v>4.847438706548229E-09</v>
      </c>
      <c r="H217" s="33">
        <f t="shared" si="59"/>
        <v>0.15802355690870512</v>
      </c>
      <c r="I217" s="33">
        <f t="shared" si="56"/>
        <v>0</v>
      </c>
      <c r="J217" s="33">
        <f t="shared" si="57"/>
        <v>1</v>
      </c>
    </row>
    <row r="218" spans="2:10" s="35" customFormat="1" ht="6.75">
      <c r="B218" s="33"/>
      <c r="C218" s="33"/>
      <c r="D218" s="35">
        <v>150</v>
      </c>
      <c r="F218" s="36">
        <f t="shared" si="58"/>
        <v>1.3173652694610856</v>
      </c>
      <c r="G218" s="33">
        <f t="shared" si="55"/>
        <v>1.7819213968283828E-09</v>
      </c>
      <c r="H218" s="33">
        <f t="shared" si="59"/>
        <v>0.13270705650138412</v>
      </c>
      <c r="I218" s="33">
        <f t="shared" si="56"/>
        <v>0</v>
      </c>
      <c r="J218" s="33">
        <f t="shared" si="57"/>
        <v>1</v>
      </c>
    </row>
    <row r="219" spans="2:10" s="35" customFormat="1" ht="6.75">
      <c r="B219" s="33"/>
      <c r="C219" s="33"/>
      <c r="D219" s="35">
        <v>151</v>
      </c>
      <c r="F219" s="36">
        <f t="shared" si="58"/>
        <v>1.319760479041924</v>
      </c>
      <c r="G219" s="33">
        <f t="shared" si="55"/>
        <v>6.408350673603798E-10</v>
      </c>
      <c r="H219" s="33">
        <f t="shared" si="59"/>
        <v>0.11104595407044625</v>
      </c>
      <c r="I219" s="33">
        <f t="shared" si="56"/>
        <v>0</v>
      </c>
      <c r="J219" s="33">
        <f t="shared" si="57"/>
        <v>1</v>
      </c>
    </row>
    <row r="220" spans="2:10" s="35" customFormat="1" ht="6.75">
      <c r="B220" s="33"/>
      <c r="C220" s="33"/>
      <c r="D220" s="35">
        <v>152</v>
      </c>
      <c r="F220" s="36">
        <f t="shared" si="58"/>
        <v>1.3221556886227623</v>
      </c>
      <c r="G220" s="33">
        <f t="shared" si="55"/>
        <v>2.2546830751571683E-10</v>
      </c>
      <c r="H220" s="33">
        <f t="shared" si="59"/>
        <v>0.09258657162358333</v>
      </c>
      <c r="I220" s="33">
        <f t="shared" si="56"/>
        <v>0</v>
      </c>
      <c r="J220" s="33">
        <f t="shared" si="57"/>
        <v>1</v>
      </c>
    </row>
    <row r="221" spans="2:10" s="35" customFormat="1" ht="6.75">
      <c r="B221" s="33"/>
      <c r="C221" s="33"/>
      <c r="D221" s="35">
        <v>153</v>
      </c>
      <c r="F221" s="36">
        <f t="shared" si="58"/>
        <v>1.3245508982036007</v>
      </c>
      <c r="G221" s="33">
        <f t="shared" si="55"/>
        <v>7.760795690919679E-11</v>
      </c>
      <c r="H221" s="33">
        <f t="shared" si="59"/>
        <v>0.07691832282012609</v>
      </c>
      <c r="I221" s="33">
        <f t="shared" si="56"/>
        <v>0</v>
      </c>
      <c r="J221" s="33">
        <f t="shared" si="57"/>
        <v>1</v>
      </c>
    </row>
    <row r="222" spans="2:10" s="35" customFormat="1" ht="6.75">
      <c r="B222" s="33"/>
      <c r="C222" s="33"/>
      <c r="D222" s="35">
        <v>154</v>
      </c>
      <c r="F222" s="36">
        <f t="shared" si="58"/>
        <v>1.326946107784439</v>
      </c>
      <c r="G222" s="33">
        <f t="shared" si="55"/>
        <v>2.6134157604370997E-11</v>
      </c>
      <c r="H222" s="33">
        <f t="shared" si="59"/>
        <v>0.0636719497480889</v>
      </c>
      <c r="I222" s="33">
        <f t="shared" si="56"/>
        <v>0</v>
      </c>
      <c r="J222" s="33">
        <f t="shared" si="57"/>
        <v>1</v>
      </c>
    </row>
    <row r="223" spans="2:10" s="35" customFormat="1" ht="6.75">
      <c r="B223" s="33"/>
      <c r="C223" s="33"/>
      <c r="D223" s="35">
        <v>155</v>
      </c>
      <c r="F223" s="36">
        <f t="shared" si="58"/>
        <v>1.3293413173652775</v>
      </c>
      <c r="G223" s="33">
        <f t="shared" si="55"/>
        <v>8.609784293918914E-12</v>
      </c>
      <c r="H223" s="33">
        <f t="shared" si="59"/>
        <v>0.05251737757578971</v>
      </c>
      <c r="I223" s="33">
        <f t="shared" si="56"/>
        <v>0</v>
      </c>
      <c r="J223" s="33">
        <f t="shared" si="57"/>
        <v>1</v>
      </c>
    </row>
    <row r="224" spans="2:10" s="35" customFormat="1" ht="6.75">
      <c r="B224" s="33"/>
      <c r="C224" s="33"/>
      <c r="D224" s="35">
        <v>156</v>
      </c>
      <c r="F224" s="36">
        <f t="shared" si="58"/>
        <v>1.3317365269461159</v>
      </c>
      <c r="G224" s="33">
        <f t="shared" si="55"/>
        <v>2.7749652299248192E-12</v>
      </c>
      <c r="H224" s="33">
        <f t="shared" si="59"/>
        <v>0.04316129377847313</v>
      </c>
      <c r="I224" s="33">
        <f t="shared" si="56"/>
        <v>0</v>
      </c>
      <c r="J224" s="33">
        <f t="shared" si="57"/>
        <v>1</v>
      </c>
    </row>
    <row r="225" spans="2:10" s="35" customFormat="1" ht="6.75">
      <c r="B225" s="33"/>
      <c r="C225" s="33"/>
      <c r="D225" s="35">
        <v>157</v>
      </c>
      <c r="F225" s="36">
        <f t="shared" si="58"/>
        <v>1.3341317365269543</v>
      </c>
      <c r="G225" s="33">
        <f t="shared" si="55"/>
        <v>8.749924999031741E-13</v>
      </c>
      <c r="H225" s="33">
        <f t="shared" si="59"/>
        <v>0.0353445467615772</v>
      </c>
      <c r="I225" s="33">
        <f t="shared" si="56"/>
        <v>0</v>
      </c>
      <c r="J225" s="33">
        <f t="shared" si="57"/>
        <v>1</v>
      </c>
    </row>
    <row r="226" spans="2:10" s="35" customFormat="1" ht="6.75">
      <c r="B226" s="33"/>
      <c r="C226" s="33"/>
      <c r="D226" s="35">
        <v>158</v>
      </c>
      <c r="F226" s="36">
        <f t="shared" si="58"/>
        <v>1.3365269461077927</v>
      </c>
      <c r="G226" s="33">
        <f t="shared" si="55"/>
        <v>2.6991848322890467E-13</v>
      </c>
      <c r="H226" s="33">
        <f t="shared" si="59"/>
        <v>0.028839446388506215</v>
      </c>
      <c r="I226" s="33">
        <f t="shared" si="56"/>
        <v>0</v>
      </c>
      <c r="J226" s="33">
        <f t="shared" si="57"/>
        <v>1</v>
      </c>
    </row>
    <row r="227" spans="2:10" s="35" customFormat="1" ht="6.75">
      <c r="B227" s="33"/>
      <c r="C227" s="33"/>
      <c r="D227" s="35">
        <v>159</v>
      </c>
      <c r="F227" s="36">
        <f t="shared" si="58"/>
        <v>1.338922155688631</v>
      </c>
      <c r="G227" s="33">
        <f t="shared" si="55"/>
        <v>8.145962920457372E-14</v>
      </c>
      <c r="H227" s="33">
        <f t="shared" si="59"/>
        <v>0.02344703660861821</v>
      </c>
      <c r="I227" s="33">
        <f t="shared" si="56"/>
        <v>0</v>
      </c>
      <c r="J227" s="33">
        <f t="shared" si="57"/>
        <v>1</v>
      </c>
    </row>
    <row r="228" spans="2:10" s="35" customFormat="1" ht="6.75">
      <c r="B228" s="33"/>
      <c r="C228" s="33"/>
      <c r="D228" s="35">
        <v>160</v>
      </c>
      <c r="F228" s="36">
        <f t="shared" si="58"/>
        <v>1.3413173652694694</v>
      </c>
      <c r="G228" s="33">
        <f t="shared" si="55"/>
        <v>2.4051033472532358E-14</v>
      </c>
      <c r="H228" s="33">
        <f t="shared" si="59"/>
        <v>0.01899439843089766</v>
      </c>
      <c r="I228" s="33">
        <f t="shared" si="56"/>
        <v>0</v>
      </c>
      <c r="J228" s="33">
        <f t="shared" si="57"/>
        <v>1</v>
      </c>
    </row>
    <row r="229" spans="2:10" s="35" customFormat="1" ht="6.75">
      <c r="B229" s="33"/>
      <c r="C229" s="33"/>
      <c r="D229" s="35">
        <v>161</v>
      </c>
      <c r="F229" s="36">
        <f t="shared" si="58"/>
        <v>1.3437125748503078</v>
      </c>
      <c r="G229" s="33">
        <f t="shared" si="55"/>
        <v>6.947148244290983E-15</v>
      </c>
      <c r="H229" s="33">
        <f t="shared" si="59"/>
        <v>0.015332030184964256</v>
      </c>
      <c r="I229" s="33">
        <f t="shared" si="56"/>
        <v>0</v>
      </c>
      <c r="J229" s="33">
        <f t="shared" si="57"/>
        <v>1</v>
      </c>
    </row>
    <row r="230" spans="2:10" s="35" customFormat="1" ht="6.75">
      <c r="B230" s="33"/>
      <c r="C230" s="33"/>
      <c r="D230" s="35">
        <v>162</v>
      </c>
      <c r="F230" s="36">
        <f t="shared" si="58"/>
        <v>1.3461077844311462</v>
      </c>
      <c r="G230" s="33">
        <f aca="true" t="shared" si="60" ref="G230:G245">1/($A$69*SQRT(2*3.14))*EXP(-((F230-$Y$4)*(F230-$Y$4))/(($A$69*$A$69)*2))</f>
        <v>1.9631835198108038E-15</v>
      </c>
      <c r="H230" s="33">
        <f t="shared" si="59"/>
        <v>0.012331341565831946</v>
      </c>
      <c r="I230" s="33">
        <f aca="true" t="shared" si="61" ref="I230:I245">IF(OR(J230-J229=1,J230-J229=-1),$R$148,0)</f>
        <v>0</v>
      </c>
      <c r="J230" s="33">
        <f aca="true" t="shared" si="62" ref="J230:J245">IF(OR(F230&lt;$AB$6,F230&gt;$AB$7),0,1)</f>
        <v>1</v>
      </c>
    </row>
    <row r="231" spans="2:10" s="35" customFormat="1" ht="6.75">
      <c r="B231" s="33"/>
      <c r="C231" s="33"/>
      <c r="D231" s="35">
        <v>163</v>
      </c>
      <c r="F231" s="36">
        <f aca="true" t="shared" si="63" ref="F231:F246">F230+$P$68</f>
        <v>1.3485029940119846</v>
      </c>
      <c r="G231" s="33">
        <f t="shared" si="60"/>
        <v>5.42746139114645E-16</v>
      </c>
      <c r="H231" s="33">
        <f aca="true" t="shared" si="64" ref="H231:H246">1/($AB$5*SQRT(2*3.14))*EXP(-((F231-$AB$4)*(F231-$AB$4))/(($AB$5*$AB$5)*2))</f>
        <v>0.009882288517587575</v>
      </c>
      <c r="I231" s="33">
        <f t="shared" si="61"/>
        <v>0</v>
      </c>
      <c r="J231" s="33">
        <f t="shared" si="62"/>
        <v>1</v>
      </c>
    </row>
    <row r="232" spans="2:10" s="35" customFormat="1" ht="6.75">
      <c r="B232" s="33"/>
      <c r="C232" s="33"/>
      <c r="D232" s="35">
        <v>164</v>
      </c>
      <c r="F232" s="36">
        <f t="shared" si="63"/>
        <v>1.350898203592823</v>
      </c>
      <c r="G232" s="33">
        <f t="shared" si="60"/>
        <v>1.4679595733404746E-16</v>
      </c>
      <c r="H232" s="33">
        <f t="shared" si="64"/>
        <v>0.007891167659753088</v>
      </c>
      <c r="I232" s="33">
        <f t="shared" si="61"/>
        <v>0</v>
      </c>
      <c r="J232" s="33">
        <f t="shared" si="62"/>
        <v>1</v>
      </c>
    </row>
    <row r="233" spans="2:10" s="35" customFormat="1" ht="6.75">
      <c r="B233" s="33"/>
      <c r="C233" s="33"/>
      <c r="D233" s="35">
        <v>165</v>
      </c>
      <c r="F233" s="36">
        <f t="shared" si="63"/>
        <v>1.3532934131736614</v>
      </c>
      <c r="G233" s="33">
        <f t="shared" si="60"/>
        <v>3.884301728773123E-17</v>
      </c>
      <c r="H233" s="33">
        <f t="shared" si="64"/>
        <v>0.006278581732947735</v>
      </c>
      <c r="I233" s="33">
        <f t="shared" si="61"/>
        <v>0</v>
      </c>
      <c r="J233" s="33">
        <f t="shared" si="62"/>
        <v>1</v>
      </c>
    </row>
    <row r="234" spans="2:10" s="35" customFormat="1" ht="6.75">
      <c r="B234" s="33"/>
      <c r="C234" s="33"/>
      <c r="D234" s="35">
        <v>166</v>
      </c>
      <c r="F234" s="36">
        <f t="shared" si="63"/>
        <v>1.3556886227544998</v>
      </c>
      <c r="G234" s="33">
        <f t="shared" si="60"/>
        <v>1.0055260596099817E-17</v>
      </c>
      <c r="H234" s="33">
        <f t="shared" si="64"/>
        <v>0.004977581429160872</v>
      </c>
      <c r="I234" s="33">
        <f t="shared" si="61"/>
        <v>0</v>
      </c>
      <c r="J234" s="33">
        <f t="shared" si="62"/>
        <v>1</v>
      </c>
    </row>
    <row r="235" spans="2:10" s="35" customFormat="1" ht="6.75">
      <c r="B235" s="33"/>
      <c r="C235" s="33"/>
      <c r="D235" s="35">
        <v>167</v>
      </c>
      <c r="F235" s="36">
        <f t="shared" si="63"/>
        <v>1.3580838323353381</v>
      </c>
      <c r="G235" s="33">
        <f t="shared" si="60"/>
        <v>2.54656761895138E-18</v>
      </c>
      <c r="H235" s="33">
        <f t="shared" si="64"/>
        <v>0.003931983933830326</v>
      </c>
      <c r="I235" s="33">
        <f t="shared" si="61"/>
        <v>0</v>
      </c>
      <c r="J235" s="33">
        <f t="shared" si="62"/>
        <v>1</v>
      </c>
    </row>
    <row r="236" spans="2:10" s="35" customFormat="1" ht="6.75">
      <c r="B236" s="33"/>
      <c r="C236" s="33"/>
      <c r="D236" s="35">
        <v>168</v>
      </c>
      <c r="F236" s="36">
        <f t="shared" si="63"/>
        <v>1.3604790419161765</v>
      </c>
      <c r="G236" s="33">
        <f t="shared" si="60"/>
        <v>6.309553167228782E-19</v>
      </c>
      <c r="H236" s="33">
        <f t="shared" si="64"/>
        <v>0.0030948644733367397</v>
      </c>
      <c r="I236" s="33">
        <f t="shared" si="61"/>
        <v>0</v>
      </c>
      <c r="J236" s="33">
        <f t="shared" si="62"/>
        <v>1</v>
      </c>
    </row>
    <row r="237" spans="2:10" s="35" customFormat="1" ht="6.75">
      <c r="B237" s="33"/>
      <c r="C237" s="33"/>
      <c r="D237" s="35">
        <v>169</v>
      </c>
      <c r="F237" s="36">
        <f t="shared" si="63"/>
        <v>1.362874251497015</v>
      </c>
      <c r="G237" s="33">
        <f t="shared" si="60"/>
        <v>1.5294085220800597E-19</v>
      </c>
      <c r="H237" s="33">
        <f t="shared" si="64"/>
        <v>0.0024272140454215676</v>
      </c>
      <c r="I237" s="33">
        <f t="shared" si="61"/>
        <v>0</v>
      </c>
      <c r="J237" s="33">
        <f t="shared" si="62"/>
        <v>1</v>
      </c>
    </row>
    <row r="238" spans="2:10" s="35" customFormat="1" ht="6.75">
      <c r="B238" s="33"/>
      <c r="C238" s="33"/>
      <c r="D238" s="35">
        <v>170</v>
      </c>
      <c r="F238" s="36">
        <f t="shared" si="63"/>
        <v>1.3652694610778533</v>
      </c>
      <c r="G238" s="33">
        <f t="shared" si="60"/>
        <v>3.6268526955753526E-20</v>
      </c>
      <c r="H238" s="33">
        <f t="shared" si="64"/>
        <v>0.0018967542127546575</v>
      </c>
      <c r="I238" s="33">
        <f t="shared" si="61"/>
        <v>0</v>
      </c>
      <c r="J238" s="33">
        <f t="shared" si="62"/>
        <v>1</v>
      </c>
    </row>
    <row r="239" spans="2:10" s="35" customFormat="1" ht="6.75">
      <c r="B239" s="33"/>
      <c r="C239" s="33"/>
      <c r="D239" s="35">
        <v>171</v>
      </c>
      <c r="F239" s="36">
        <f t="shared" si="63"/>
        <v>1.3676646706586917</v>
      </c>
      <c r="G239" s="33">
        <f t="shared" si="60"/>
        <v>8.414297016372448E-21</v>
      </c>
      <c r="H239" s="33">
        <f t="shared" si="64"/>
        <v>0.0014768982569959488</v>
      </c>
      <c r="I239" s="33">
        <f t="shared" si="61"/>
        <v>0</v>
      </c>
      <c r="J239" s="33">
        <f t="shared" si="62"/>
        <v>1</v>
      </c>
    </row>
    <row r="240" spans="2:10" s="35" customFormat="1" ht="6.75">
      <c r="B240" s="33"/>
      <c r="C240" s="33"/>
      <c r="D240" s="35">
        <v>172</v>
      </c>
      <c r="F240" s="36">
        <f t="shared" si="63"/>
        <v>1.37005988023953</v>
      </c>
      <c r="G240" s="33">
        <f t="shared" si="60"/>
        <v>1.9097972730501443E-21</v>
      </c>
      <c r="H240" s="33">
        <f t="shared" si="64"/>
        <v>0.001145847016896429</v>
      </c>
      <c r="I240" s="33">
        <f t="shared" si="61"/>
        <v>0</v>
      </c>
      <c r="J240" s="33">
        <f t="shared" si="62"/>
        <v>1</v>
      </c>
    </row>
    <row r="241" spans="2:10" s="35" customFormat="1" ht="6.75">
      <c r="B241" s="33"/>
      <c r="C241" s="33"/>
      <c r="D241" s="35">
        <v>173</v>
      </c>
      <c r="F241" s="36">
        <f t="shared" si="63"/>
        <v>1.3724550898203685</v>
      </c>
      <c r="G241" s="33">
        <f t="shared" si="60"/>
        <v>4.240706436470191E-22</v>
      </c>
      <c r="H241" s="33">
        <f t="shared" si="64"/>
        <v>0.0008858072669248412</v>
      </c>
      <c r="I241" s="33">
        <f t="shared" si="61"/>
        <v>0</v>
      </c>
      <c r="J241" s="33">
        <f t="shared" si="62"/>
        <v>1</v>
      </c>
    </row>
    <row r="242" spans="2:10" s="35" customFormat="1" ht="6.75">
      <c r="B242" s="33"/>
      <c r="C242" s="33"/>
      <c r="D242" s="35">
        <v>174</v>
      </c>
      <c r="F242" s="36">
        <f t="shared" si="63"/>
        <v>1.3748502994012068</v>
      </c>
      <c r="G242" s="33">
        <f t="shared" si="60"/>
        <v>9.212354881539399E-23</v>
      </c>
      <c r="H242" s="33">
        <f t="shared" si="64"/>
        <v>0.0006823204361685725</v>
      </c>
      <c r="I242" s="33">
        <f t="shared" si="61"/>
        <v>0</v>
      </c>
      <c r="J242" s="33">
        <f t="shared" si="62"/>
        <v>1</v>
      </c>
    </row>
    <row r="243" spans="2:10" s="35" customFormat="1" ht="6.75">
      <c r="B243" s="33"/>
      <c r="C243" s="33"/>
      <c r="D243" s="35">
        <v>175</v>
      </c>
      <c r="F243" s="36">
        <f t="shared" si="63"/>
        <v>1.3772455089820452</v>
      </c>
      <c r="G243" s="33">
        <f t="shared" si="60"/>
        <v>1.957873461450235E-23</v>
      </c>
      <c r="H243" s="33">
        <f t="shared" si="64"/>
        <v>0.0005236897324220146</v>
      </c>
      <c r="I243" s="33">
        <f t="shared" si="61"/>
        <v>0</v>
      </c>
      <c r="J243" s="33">
        <f t="shared" si="62"/>
        <v>1</v>
      </c>
    </row>
    <row r="244" spans="2:10" s="35" customFormat="1" ht="6.75">
      <c r="B244" s="33"/>
      <c r="C244" s="33"/>
      <c r="D244" s="35">
        <v>176</v>
      </c>
      <c r="F244" s="36">
        <f t="shared" si="63"/>
        <v>1.3796407185628836</v>
      </c>
      <c r="G244" s="33">
        <f t="shared" si="60"/>
        <v>4.070803032821312E-24</v>
      </c>
      <c r="H244" s="33">
        <f t="shared" si="64"/>
        <v>0.0004004942443539767</v>
      </c>
      <c r="I244" s="33">
        <f t="shared" si="61"/>
        <v>0</v>
      </c>
      <c r="J244" s="33">
        <f t="shared" si="62"/>
        <v>1</v>
      </c>
    </row>
    <row r="245" spans="2:10" s="35" customFormat="1" ht="6.75">
      <c r="B245" s="33"/>
      <c r="C245" s="33"/>
      <c r="D245" s="35">
        <v>177</v>
      </c>
      <c r="F245" s="36">
        <f t="shared" si="63"/>
        <v>1.382035928143722</v>
      </c>
      <c r="G245" s="33">
        <f t="shared" si="60"/>
        <v>8.280509674100254E-25</v>
      </c>
      <c r="H245" s="33">
        <f t="shared" si="64"/>
        <v>0.000305179276355118</v>
      </c>
      <c r="I245" s="33">
        <f t="shared" si="61"/>
        <v>0</v>
      </c>
      <c r="J245" s="33">
        <f t="shared" si="62"/>
        <v>1</v>
      </c>
    </row>
    <row r="246" spans="2:10" s="35" customFormat="1" ht="6.75">
      <c r="B246" s="33"/>
      <c r="C246" s="33"/>
      <c r="D246" s="35">
        <v>178</v>
      </c>
      <c r="F246" s="36">
        <f t="shared" si="63"/>
        <v>1.3844311377245604</v>
      </c>
      <c r="G246" s="33">
        <f aca="true" t="shared" si="65" ref="G246:G261">1/($A$69*SQRT(2*3.14))*EXP(-((F246-$Y$4)*(F246-$Y$4))/(($A$69*$A$69)*2))</f>
        <v>1.6478419628692236E-25</v>
      </c>
      <c r="H246" s="33">
        <f t="shared" si="64"/>
        <v>0.00023171296717893077</v>
      </c>
      <c r="I246" s="33">
        <f aca="true" t="shared" si="66" ref="I246:I261">IF(OR(J246-J245=1,J246-J245=-1),$R$148,0)</f>
        <v>0</v>
      </c>
      <c r="J246" s="33">
        <f aca="true" t="shared" si="67" ref="J246:J261">IF(OR(F246&lt;$AB$6,F246&gt;$AB$7),0,1)</f>
        <v>1</v>
      </c>
    </row>
    <row r="247" spans="2:10" s="35" customFormat="1" ht="6.75">
      <c r="B247" s="33"/>
      <c r="C247" s="33"/>
      <c r="D247" s="35">
        <v>179</v>
      </c>
      <c r="F247" s="36">
        <f aca="true" t="shared" si="68" ref="F247:F262">F246+$P$68</f>
        <v>1.3868263473053988</v>
      </c>
      <c r="G247" s="33">
        <f t="shared" si="65"/>
        <v>3.208156583143004E-26</v>
      </c>
      <c r="H247" s="33">
        <f aca="true" t="shared" si="69" ref="H247:H262">1/($AB$5*SQRT(2*3.14))*EXP(-((F247-$AB$4)*(F247-$AB$4))/(($AB$5*$AB$5)*2))</f>
        <v>0.0001753001057632157</v>
      </c>
      <c r="I247" s="33">
        <f t="shared" si="66"/>
        <v>0</v>
      </c>
      <c r="J247" s="33">
        <f t="shared" si="67"/>
        <v>1</v>
      </c>
    </row>
    <row r="248" spans="2:10" s="35" customFormat="1" ht="6.75">
      <c r="B248" s="33"/>
      <c r="C248" s="33"/>
      <c r="D248" s="35">
        <v>180</v>
      </c>
      <c r="F248" s="36">
        <f t="shared" si="68"/>
        <v>1.3892215568862372</v>
      </c>
      <c r="G248" s="33">
        <f t="shared" si="65"/>
        <v>6.1105044655547834E-27</v>
      </c>
      <c r="H248" s="33">
        <f t="shared" si="69"/>
        <v>0.00013214494591466103</v>
      </c>
      <c r="I248" s="33">
        <f t="shared" si="66"/>
        <v>0</v>
      </c>
      <c r="J248" s="33">
        <f t="shared" si="67"/>
        <v>1</v>
      </c>
    </row>
    <row r="249" spans="2:10" s="35" customFormat="1" ht="6.75">
      <c r="B249" s="33"/>
      <c r="C249" s="33"/>
      <c r="D249" s="35">
        <v>181</v>
      </c>
      <c r="F249" s="36">
        <f t="shared" si="68"/>
        <v>1.3916167664670755</v>
      </c>
      <c r="G249" s="33">
        <f t="shared" si="65"/>
        <v>1.1386233461747932E-27</v>
      </c>
      <c r="H249" s="33">
        <f t="shared" si="69"/>
        <v>9.925570462583436E-05</v>
      </c>
      <c r="I249" s="33">
        <f t="shared" si="66"/>
        <v>0</v>
      </c>
      <c r="J249" s="33">
        <f t="shared" si="67"/>
        <v>1</v>
      </c>
    </row>
    <row r="250" spans="2:10" s="35" customFormat="1" ht="6.75">
      <c r="B250" s="33"/>
      <c r="C250" s="33"/>
      <c r="D250" s="35">
        <v>182</v>
      </c>
      <c r="F250" s="36">
        <f t="shared" si="68"/>
        <v>1.394011976047914</v>
      </c>
      <c r="G250" s="33">
        <f t="shared" si="65"/>
        <v>2.075700129829993E-28</v>
      </c>
      <c r="H250" s="33">
        <f t="shared" si="69"/>
        <v>7.428428301686606E-05</v>
      </c>
      <c r="I250" s="33">
        <f t="shared" si="66"/>
        <v>0</v>
      </c>
      <c r="J250" s="33">
        <f t="shared" si="67"/>
        <v>1</v>
      </c>
    </row>
    <row r="251" spans="2:10" s="35" customFormat="1" ht="6.75">
      <c r="B251" s="33"/>
      <c r="C251" s="33"/>
      <c r="D251" s="35">
        <v>183</v>
      </c>
      <c r="F251" s="36">
        <f t="shared" si="68"/>
        <v>1.3964071856287523</v>
      </c>
      <c r="G251" s="33">
        <f t="shared" si="65"/>
        <v>3.7019508671870693E-29</v>
      </c>
      <c r="H251" s="33">
        <f t="shared" si="69"/>
        <v>5.539555718129145E-05</v>
      </c>
      <c r="I251" s="33">
        <f t="shared" si="66"/>
        <v>0</v>
      </c>
      <c r="J251" s="33">
        <f t="shared" si="67"/>
        <v>1</v>
      </c>
    </row>
    <row r="252" spans="2:10" s="35" customFormat="1" ht="6.75">
      <c r="B252" s="33"/>
      <c r="C252" s="33"/>
      <c r="D252" s="35">
        <v>184</v>
      </c>
      <c r="F252" s="36">
        <f t="shared" si="68"/>
        <v>1.3988023952095907</v>
      </c>
      <c r="G252" s="33">
        <f t="shared" si="65"/>
        <v>6.459192058873897E-30</v>
      </c>
      <c r="H252" s="33">
        <f t="shared" si="69"/>
        <v>4.1161337075011086E-05</v>
      </c>
      <c r="I252" s="33">
        <f t="shared" si="66"/>
        <v>0</v>
      </c>
      <c r="J252" s="33">
        <f t="shared" si="67"/>
        <v>1</v>
      </c>
    </row>
    <row r="253" spans="2:10" s="35" customFormat="1" ht="6.75">
      <c r="B253" s="33"/>
      <c r="C253" s="33"/>
      <c r="D253" s="35">
        <v>185</v>
      </c>
      <c r="F253" s="36">
        <f t="shared" si="68"/>
        <v>1.401197604790429</v>
      </c>
      <c r="G253" s="33">
        <f t="shared" si="65"/>
        <v>1.1025727521533875E-30</v>
      </c>
      <c r="H253" s="33">
        <f t="shared" si="69"/>
        <v>3.047477813934853E-05</v>
      </c>
      <c r="I253" s="33">
        <f t="shared" si="66"/>
        <v>24.65728033166606</v>
      </c>
      <c r="J253" s="33">
        <f t="shared" si="67"/>
        <v>0</v>
      </c>
    </row>
    <row r="254" spans="2:10" s="35" customFormat="1" ht="6.75">
      <c r="B254" s="33"/>
      <c r="C254" s="33"/>
      <c r="D254" s="35">
        <v>186</v>
      </c>
      <c r="F254" s="36">
        <f t="shared" si="68"/>
        <v>1.4035928143712675</v>
      </c>
      <c r="G254" s="33">
        <f t="shared" si="65"/>
        <v>1.8412714649744652E-31</v>
      </c>
      <c r="H254" s="33">
        <f t="shared" si="69"/>
        <v>2.248164942324111E-05</v>
      </c>
      <c r="I254" s="33">
        <f t="shared" si="66"/>
        <v>0</v>
      </c>
      <c r="J254" s="33">
        <f t="shared" si="67"/>
        <v>0</v>
      </c>
    </row>
    <row r="255" spans="2:10" s="35" customFormat="1" ht="6.75">
      <c r="B255" s="33"/>
      <c r="C255" s="33"/>
      <c r="D255" s="35">
        <v>187</v>
      </c>
      <c r="F255" s="36">
        <f t="shared" si="68"/>
        <v>1.4059880239521059</v>
      </c>
      <c r="G255" s="33">
        <f t="shared" si="65"/>
        <v>3.008222115127382E-32</v>
      </c>
      <c r="H255" s="33">
        <f t="shared" si="69"/>
        <v>1.6525413287420503E-05</v>
      </c>
      <c r="I255" s="33">
        <f t="shared" si="66"/>
        <v>0</v>
      </c>
      <c r="J255" s="33">
        <f t="shared" si="67"/>
        <v>0</v>
      </c>
    </row>
    <row r="256" spans="2:10" s="35" customFormat="1" ht="6.75">
      <c r="B256" s="33"/>
      <c r="C256" s="33"/>
      <c r="D256" s="35">
        <v>188</v>
      </c>
      <c r="F256" s="36">
        <f t="shared" si="68"/>
        <v>1.4083832335329443</v>
      </c>
      <c r="G256" s="33">
        <f t="shared" si="65"/>
        <v>4.8082106531646766E-33</v>
      </c>
      <c r="H256" s="33">
        <f t="shared" si="69"/>
        <v>1.2103557228862915E-05</v>
      </c>
      <c r="I256" s="33">
        <f t="shared" si="66"/>
        <v>0</v>
      </c>
      <c r="J256" s="33">
        <f t="shared" si="67"/>
        <v>0</v>
      </c>
    </row>
    <row r="257" spans="2:10" s="35" customFormat="1" ht="6.75">
      <c r="B257" s="33"/>
      <c r="C257" s="33"/>
      <c r="D257" s="35">
        <v>189</v>
      </c>
      <c r="F257" s="36">
        <f t="shared" si="68"/>
        <v>1.4107784431137826</v>
      </c>
      <c r="G257" s="33">
        <f t="shared" si="65"/>
        <v>7.518627740970659E-34</v>
      </c>
      <c r="H257" s="33">
        <f t="shared" si="69"/>
        <v>8.833041404702754E-06</v>
      </c>
      <c r="I257" s="33">
        <f t="shared" si="66"/>
        <v>0</v>
      </c>
      <c r="J257" s="33">
        <f t="shared" si="67"/>
        <v>0</v>
      </c>
    </row>
    <row r="258" spans="2:10" s="35" customFormat="1" ht="6.75">
      <c r="B258" s="33"/>
      <c r="C258" s="33"/>
      <c r="D258" s="35">
        <v>190</v>
      </c>
      <c r="F258" s="36">
        <f t="shared" si="68"/>
        <v>1.413173652694621</v>
      </c>
      <c r="G258" s="33">
        <f t="shared" si="65"/>
        <v>1.1502048351305057E-34</v>
      </c>
      <c r="H258" s="33">
        <f t="shared" si="69"/>
        <v>6.423090545528259E-06</v>
      </c>
      <c r="I258" s="33">
        <f t="shared" si="66"/>
        <v>0</v>
      </c>
      <c r="J258" s="33">
        <f t="shared" si="67"/>
        <v>0</v>
      </c>
    </row>
    <row r="259" spans="2:10" s="35" customFormat="1" ht="6.75">
      <c r="B259" s="33"/>
      <c r="C259" s="33"/>
      <c r="D259" s="35">
        <v>191</v>
      </c>
      <c r="F259" s="36">
        <f t="shared" si="68"/>
        <v>1.4155688622754594</v>
      </c>
      <c r="G259" s="33">
        <f t="shared" si="65"/>
        <v>1.7214456073251192E-35</v>
      </c>
      <c r="H259" s="33">
        <f t="shared" si="69"/>
        <v>4.653871227340238E-06</v>
      </c>
      <c r="I259" s="33">
        <f t="shared" si="66"/>
        <v>0</v>
      </c>
      <c r="J259" s="33">
        <f t="shared" si="67"/>
        <v>0</v>
      </c>
    </row>
    <row r="260" spans="2:10" s="35" customFormat="1" ht="6.75">
      <c r="B260" s="33"/>
      <c r="C260" s="33"/>
      <c r="D260" s="35">
        <v>192</v>
      </c>
      <c r="F260" s="36">
        <f t="shared" si="68"/>
        <v>1.4179640718562978</v>
      </c>
      <c r="G260" s="33">
        <f t="shared" si="65"/>
        <v>2.5205361494624162E-36</v>
      </c>
      <c r="H260" s="33">
        <f t="shared" si="69"/>
        <v>3.359860298400257E-06</v>
      </c>
      <c r="I260" s="33">
        <f t="shared" si="66"/>
        <v>0</v>
      </c>
      <c r="J260" s="33">
        <f t="shared" si="67"/>
        <v>0</v>
      </c>
    </row>
    <row r="261" spans="2:10" s="35" customFormat="1" ht="6.75">
      <c r="B261" s="33"/>
      <c r="C261" s="33"/>
      <c r="D261" s="35">
        <v>193</v>
      </c>
      <c r="F261" s="36">
        <f t="shared" si="68"/>
        <v>1.4203592814371362</v>
      </c>
      <c r="G261" s="33">
        <f t="shared" si="65"/>
        <v>3.6105558380734564E-37</v>
      </c>
      <c r="H261" s="33">
        <f t="shared" si="69"/>
        <v>2.416933034395251E-06</v>
      </c>
      <c r="I261" s="33">
        <f t="shared" si="66"/>
        <v>0</v>
      </c>
      <c r="J261" s="33">
        <f t="shared" si="67"/>
        <v>0</v>
      </c>
    </row>
    <row r="262" spans="2:10" s="35" customFormat="1" ht="6.75">
      <c r="B262" s="33"/>
      <c r="C262" s="33"/>
      <c r="D262" s="35">
        <v>194</v>
      </c>
      <c r="F262" s="36">
        <f t="shared" si="68"/>
        <v>1.4227544910179746</v>
      </c>
      <c r="G262" s="33">
        <f aca="true" t="shared" si="70" ref="G262:G268">1/($A$69*SQRT(2*3.14))*EXP(-((F262-$Y$4)*(F262-$Y$4))/(($A$69*$A$69)*2))</f>
        <v>5.059839149344325E-38</v>
      </c>
      <c r="H262" s="33">
        <f t="shared" si="69"/>
        <v>1.732385560324763E-06</v>
      </c>
      <c r="I262" s="33">
        <f aca="true" t="shared" si="71" ref="I262:I268">IF(OR(J262-J261=1,J262-J261=-1),$R$148,0)</f>
        <v>0</v>
      </c>
      <c r="J262" s="33">
        <f aca="true" t="shared" si="72" ref="J262:J268">IF(OR(F262&lt;$AB$6,F262&gt;$AB$7),0,1)</f>
        <v>0</v>
      </c>
    </row>
    <row r="263" spans="2:10" s="35" customFormat="1" ht="6.75">
      <c r="B263" s="33"/>
      <c r="C263" s="33"/>
      <c r="D263" s="35">
        <v>195</v>
      </c>
      <c r="F263" s="36">
        <f aca="true" t="shared" si="73" ref="F263:F268">F262+$P$68</f>
        <v>1.425149700598813</v>
      </c>
      <c r="G263" s="33">
        <f t="shared" si="70"/>
        <v>6.937146495871268E-39</v>
      </c>
      <c r="H263" s="33">
        <f aca="true" t="shared" si="74" ref="H263:H268">1/($AB$5*SQRT(2*3.14))*EXP(-((F263-$AB$4)*(F263-$AB$4))/(($AB$5*$AB$5)*2))</f>
        <v>1.2372601707363185E-06</v>
      </c>
      <c r="I263" s="33">
        <f t="shared" si="71"/>
        <v>0</v>
      </c>
      <c r="J263" s="33">
        <f t="shared" si="72"/>
        <v>0</v>
      </c>
    </row>
    <row r="264" spans="2:10" s="35" customFormat="1" ht="6.75">
      <c r="B264" s="33"/>
      <c r="C264" s="33"/>
      <c r="D264" s="35">
        <v>196</v>
      </c>
      <c r="F264" s="36">
        <f t="shared" si="73"/>
        <v>1.4275449101796513</v>
      </c>
      <c r="G264" s="33">
        <f t="shared" si="70"/>
        <v>9.304789025057751E-40</v>
      </c>
      <c r="H264" s="33">
        <f t="shared" si="74"/>
        <v>8.804689596638022E-07</v>
      </c>
      <c r="I264" s="33">
        <f t="shared" si="71"/>
        <v>0</v>
      </c>
      <c r="J264" s="33">
        <f t="shared" si="72"/>
        <v>0</v>
      </c>
    </row>
    <row r="265" spans="2:10" s="35" customFormat="1" ht="6.75">
      <c r="B265" s="33"/>
      <c r="C265" s="33"/>
      <c r="D265" s="35">
        <v>197</v>
      </c>
      <c r="F265" s="36">
        <f t="shared" si="73"/>
        <v>1.4299401197604897</v>
      </c>
      <c r="G265" s="33">
        <f t="shared" si="70"/>
        <v>1.2209944920572194E-40</v>
      </c>
      <c r="H265" s="33">
        <f t="shared" si="74"/>
        <v>6.243147662230946E-07</v>
      </c>
      <c r="I265" s="33">
        <f t="shared" si="71"/>
        <v>0</v>
      </c>
      <c r="J265" s="33">
        <f t="shared" si="72"/>
        <v>0</v>
      </c>
    </row>
    <row r="266" spans="2:10" s="35" customFormat="1" ht="6.75">
      <c r="B266" s="33"/>
      <c r="C266" s="33"/>
      <c r="D266" s="35">
        <v>198</v>
      </c>
      <c r="F266" s="36">
        <f t="shared" si="73"/>
        <v>1.4323353293413281</v>
      </c>
      <c r="G266" s="33">
        <f t="shared" si="70"/>
        <v>1.5674813740806528E-41</v>
      </c>
      <c r="H266" s="33">
        <f t="shared" si="74"/>
        <v>4.4109253097196656E-07</v>
      </c>
      <c r="I266" s="33">
        <f t="shared" si="71"/>
        <v>0</v>
      </c>
      <c r="J266" s="33">
        <f t="shared" si="72"/>
        <v>0</v>
      </c>
    </row>
    <row r="267" spans="2:10" s="35" customFormat="1" ht="6.75">
      <c r="B267" s="33"/>
      <c r="C267" s="33"/>
      <c r="D267" s="35">
        <v>199</v>
      </c>
      <c r="F267" s="36">
        <f t="shared" si="73"/>
        <v>1.4347305389221665</v>
      </c>
      <c r="G267" s="33">
        <f t="shared" si="70"/>
        <v>1.9686684566697946E-42</v>
      </c>
      <c r="H267" s="33">
        <f t="shared" si="74"/>
        <v>3.105219757513132E-07</v>
      </c>
      <c r="I267" s="33">
        <f t="shared" si="71"/>
        <v>0</v>
      </c>
      <c r="J267" s="33">
        <f t="shared" si="72"/>
        <v>0</v>
      </c>
    </row>
    <row r="268" spans="2:10" s="35" customFormat="1" ht="6.75">
      <c r="B268" s="33"/>
      <c r="C268" s="33"/>
      <c r="D268" s="35">
        <v>200</v>
      </c>
      <c r="F268" s="36">
        <f t="shared" si="73"/>
        <v>1.437125748503005</v>
      </c>
      <c r="G268" s="33">
        <f t="shared" si="70"/>
        <v>2.4189354897812046E-43</v>
      </c>
      <c r="H268" s="33">
        <f t="shared" si="74"/>
        <v>2.1781687225534767E-07</v>
      </c>
      <c r="I268" s="33">
        <f t="shared" si="71"/>
        <v>0</v>
      </c>
      <c r="J268" s="33">
        <f t="shared" si="72"/>
        <v>0</v>
      </c>
    </row>
  </sheetData>
  <sheetProtection/>
  <mergeCells count="16">
    <mergeCell ref="I12:L12"/>
    <mergeCell ref="O12:R12"/>
    <mergeCell ref="M2:R2"/>
    <mergeCell ref="M3:R3"/>
    <mergeCell ref="O1:R1"/>
    <mergeCell ref="O11:R11"/>
    <mergeCell ref="P16:Q16"/>
    <mergeCell ref="I5:R5"/>
    <mergeCell ref="O6:R6"/>
    <mergeCell ref="I6:L6"/>
    <mergeCell ref="I8:R8"/>
    <mergeCell ref="I9:L9"/>
    <mergeCell ref="O9:R9"/>
    <mergeCell ref="I14:L14"/>
    <mergeCell ref="I15:L15"/>
    <mergeCell ref="I11:L11"/>
  </mergeCells>
  <printOptions horizontalCentered="1" verticalCentered="1"/>
  <pageMargins left="0.35433070866141736" right="0.2362204724409449" top="0.31496062992125984" bottom="0.1968503937007874" header="0.03937007874015748" footer="0.03937007874015748"/>
  <pageSetup horizontalDpi="300" verticalDpi="300" orientation="portrait" paperSize="9" scale="93" r:id="rId2"/>
  <rowBreaks count="2" manualBreakCount="2">
    <brk id="64" max="255" man="1"/>
    <brk id="135" max="255" man="1"/>
  </rowBreaks>
  <colBreaks count="1" manualBreakCount="1">
    <brk id="19" max="2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Piotrów</dc:creator>
  <cp:keywords/>
  <dc:description/>
  <cp:lastModifiedBy>Marcin Piotrów</cp:lastModifiedBy>
  <cp:lastPrinted>2016-02-19T07:31:06Z</cp:lastPrinted>
  <dcterms:created xsi:type="dcterms:W3CDTF">1997-10-31T10:12:53Z</dcterms:created>
  <dcterms:modified xsi:type="dcterms:W3CDTF">2018-08-17T18:19:30Z</dcterms:modified>
  <cp:category/>
  <cp:version/>
  <cp:contentType/>
  <cp:contentStatus/>
</cp:coreProperties>
</file>